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fr\LiST countries\"/>
    </mc:Choice>
  </mc:AlternateContent>
  <xr:revisionPtr revIDLastSave="0" documentId="8_{2972587B-81D7-4684-A9B9-1083187845CF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58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I40" i="2" s="1"/>
  <c r="H39" i="2"/>
  <c r="I39" i="2" s="1"/>
  <c r="G39" i="2"/>
  <c r="H38" i="2"/>
  <c r="G38" i="2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H6" i="2"/>
  <c r="G6" i="2"/>
  <c r="H5" i="2"/>
  <c r="G5" i="2"/>
  <c r="H4" i="2"/>
  <c r="G4" i="2"/>
  <c r="I4" i="2" s="1"/>
  <c r="H3" i="2"/>
  <c r="G3" i="2"/>
  <c r="I3" i="2" s="1"/>
  <c r="H2" i="2"/>
  <c r="G2" i="2"/>
  <c r="I2" i="2" s="1"/>
  <c r="A2" i="2"/>
  <c r="A40" i="2" s="1"/>
  <c r="C33" i="1"/>
  <c r="C20" i="1"/>
  <c r="A15" i="2" l="1"/>
  <c r="I5" i="2"/>
  <c r="A21" i="2"/>
  <c r="A13" i="2"/>
  <c r="A23" i="2"/>
  <c r="I6" i="2"/>
  <c r="A29" i="2"/>
  <c r="A31" i="2"/>
  <c r="I7" i="2"/>
  <c r="A37" i="2"/>
  <c r="I38" i="2"/>
  <c r="A3" i="2"/>
  <c r="A4" i="2" s="1"/>
  <c r="A5" i="2" s="1"/>
  <c r="A6" i="2" s="1"/>
  <c r="A7" i="2" s="1"/>
  <c r="A8" i="2" s="1"/>
  <c r="A9" i="2" s="1"/>
  <c r="A10" i="2" s="1"/>
  <c r="A11" i="2" s="1"/>
  <c r="A16" i="2"/>
  <c r="A24" i="2"/>
  <c r="A32" i="2"/>
  <c r="D111" i="20"/>
  <c r="A25" i="2"/>
  <c r="A33" i="2"/>
  <c r="A18" i="2"/>
  <c r="A26" i="2"/>
  <c r="A34" i="2"/>
  <c r="A39" i="2"/>
  <c r="A17" i="2"/>
  <c r="A19" i="2"/>
  <c r="A27" i="2"/>
  <c r="A35" i="2"/>
  <c r="A12" i="2"/>
  <c r="A20" i="2"/>
  <c r="A28" i="2"/>
  <c r="A36" i="2"/>
  <c r="A14" i="2"/>
  <c r="A22" i="2"/>
  <c r="A30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<sst xmlns="http://schemas.openxmlformats.org/spreadsheetml/2006/main" count="2092" uniqueCount="337">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</sst>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13</v>
      </c>
      <c r="B1" s="29" t="s">
        <v>0</v>
      </c>
      <c r="C1" s="29" t="s">
        <v>66</v>
      </c>
    </row>
    <row r="2" spans="1:3" ht="15.95" customHeight="1" x14ac:dyDescent="0.2">
      <c r="A2" s="8" t="s">
        <v>14</v>
      </c>
      <c r="B2" s="29"/>
      <c r="C2" s="29"/>
    </row>
    <row r="3" spans="1:3" ht="15.95" customHeight="1" x14ac:dyDescent="0.2">
      <c r="A3" s="1"/>
      <c r="B3" s="5" t="s">
        <v>15</v>
      </c>
      <c r="C3" s="41">
        <v>2021</v>
      </c>
    </row>
    <row r="4" spans="1:3" ht="15.95" customHeight="1" x14ac:dyDescent="0.2">
      <c r="A4" s="1"/>
      <c r="B4" s="5" t="s">
        <v>16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17</v>
      </c>
    </row>
    <row r="7" spans="1:3" ht="15" customHeight="1" x14ac:dyDescent="0.2">
      <c r="B7" s="11" t="s">
        <v>18</v>
      </c>
      <c r="C7" s="43">
        <v>17993008.75</v>
      </c>
    </row>
    <row r="8" spans="1:3" ht="15" customHeight="1" x14ac:dyDescent="0.2">
      <c r="B8" s="5" t="s">
        <v>19</v>
      </c>
      <c r="C8" s="44">
        <v>0.308</v>
      </c>
    </row>
    <row r="9" spans="1:3" ht="15" customHeight="1" x14ac:dyDescent="0.2">
      <c r="B9" s="5" t="s">
        <v>20</v>
      </c>
      <c r="C9" s="45">
        <v>0.14000000000000001</v>
      </c>
    </row>
    <row r="10" spans="1:3" ht="15" customHeight="1" x14ac:dyDescent="0.2">
      <c r="B10" s="5" t="s">
        <v>21</v>
      </c>
      <c r="C10" s="45">
        <v>0.81408699039999999</v>
      </c>
    </row>
    <row r="11" spans="1:3" ht="15" customHeight="1" x14ac:dyDescent="0.2">
      <c r="B11" s="5" t="s">
        <v>22</v>
      </c>
      <c r="C11" s="45">
        <v>0.73</v>
      </c>
    </row>
    <row r="12" spans="1:3" ht="15" customHeight="1" x14ac:dyDescent="0.2">
      <c r="B12" s="5" t="s">
        <v>23</v>
      </c>
      <c r="C12" s="45">
        <v>0.72</v>
      </c>
    </row>
    <row r="13" spans="1:3" ht="15" customHeight="1" x14ac:dyDescent="0.2">
      <c r="B13" s="5" t="s">
        <v>24</v>
      </c>
      <c r="C13" s="45">
        <v>0.10299999999999999</v>
      </c>
    </row>
    <row r="14" spans="1:3" ht="15" customHeight="1" x14ac:dyDescent="0.2">
      <c r="B14" s="8"/>
    </row>
    <row r="15" spans="1:3" ht="15" customHeight="1" x14ac:dyDescent="0.2">
      <c r="A15" s="8" t="s">
        <v>25</v>
      </c>
      <c r="B15" s="14"/>
      <c r="C15" s="3"/>
    </row>
    <row r="16" spans="1:3" ht="15" customHeight="1" x14ac:dyDescent="0.2">
      <c r="B16" s="5" t="s">
        <v>26</v>
      </c>
      <c r="C16" s="45">
        <v>0.1</v>
      </c>
    </row>
    <row r="17" spans="1:3" ht="15" customHeight="1" x14ac:dyDescent="0.2">
      <c r="B17" s="5" t="s">
        <v>27</v>
      </c>
      <c r="C17" s="45">
        <v>0.7</v>
      </c>
    </row>
    <row r="18" spans="1:3" ht="15" customHeight="1" x14ac:dyDescent="0.2">
      <c r="B18" s="5" t="s">
        <v>28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30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31</v>
      </c>
    </row>
    <row r="23" spans="1:3" ht="15" customHeight="1" x14ac:dyDescent="0.2">
      <c r="B23" s="15" t="s">
        <v>32</v>
      </c>
      <c r="C23" s="45">
        <v>2.3800000000000002E-2</v>
      </c>
    </row>
    <row r="24" spans="1:3" ht="15" customHeight="1" x14ac:dyDescent="0.2">
      <c r="B24" s="15" t="s">
        <v>33</v>
      </c>
      <c r="C24" s="45">
        <v>0.4365</v>
      </c>
    </row>
    <row r="25" spans="1:3" ht="15" customHeight="1" x14ac:dyDescent="0.2">
      <c r="B25" s="15" t="s">
        <v>34</v>
      </c>
      <c r="C25" s="45">
        <v>0.49280000000000002</v>
      </c>
    </row>
    <row r="26" spans="1:3" ht="15" customHeight="1" x14ac:dyDescent="0.2">
      <c r="B26" s="15" t="s">
        <v>35</v>
      </c>
      <c r="C26" s="45">
        <v>4.6899999999999997E-2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36</v>
      </c>
      <c r="B28" s="15"/>
      <c r="C28" s="15"/>
    </row>
    <row r="29" spans="1:3" ht="14.25" customHeight="1" x14ac:dyDescent="0.2">
      <c r="B29" s="25" t="s">
        <v>37</v>
      </c>
      <c r="C29" s="45">
        <v>0.18812535880376199</v>
      </c>
    </row>
    <row r="30" spans="1:3" ht="14.25" customHeight="1" x14ac:dyDescent="0.2">
      <c r="B30" s="25" t="s">
        <v>38</v>
      </c>
      <c r="C30" s="99">
        <v>7.52921476815058E-2</v>
      </c>
    </row>
    <row r="31" spans="1:3" ht="14.25" customHeight="1" x14ac:dyDescent="0.2">
      <c r="B31" s="25" t="s">
        <v>39</v>
      </c>
      <c r="C31" s="99">
        <v>0.100306822402006</v>
      </c>
    </row>
    <row r="32" spans="1:3" ht="14.25" customHeight="1" x14ac:dyDescent="0.2">
      <c r="B32" s="25" t="s">
        <v>40</v>
      </c>
      <c r="C32" s="99">
        <v>0.63627567111272598</v>
      </c>
    </row>
    <row r="33" spans="1:5" ht="13.15" customHeight="1" x14ac:dyDescent="0.2">
      <c r="B33" s="27" t="s">
        <v>41</v>
      </c>
      <c r="C33" s="48">
        <f>SUM(C29:C32)</f>
        <v>0.99999999999999978</v>
      </c>
    </row>
    <row r="34" spans="1:5" ht="15" customHeight="1" x14ac:dyDescent="0.2"/>
    <row r="35" spans="1:5" ht="15" customHeight="1" x14ac:dyDescent="0.2">
      <c r="A35" s="4" t="s">
        <v>42</v>
      </c>
    </row>
    <row r="36" spans="1:5" ht="15" customHeight="1" x14ac:dyDescent="0.2">
      <c r="A36" s="8" t="s">
        <v>43</v>
      </c>
      <c r="B36" s="5"/>
    </row>
    <row r="37" spans="1:5" ht="15" customHeight="1" x14ac:dyDescent="0.2">
      <c r="B37" s="11" t="s">
        <v>44</v>
      </c>
      <c r="C37" s="43">
        <v>27.621025084636901</v>
      </c>
    </row>
    <row r="38" spans="1:5" ht="15" customHeight="1" x14ac:dyDescent="0.2">
      <c r="B38" s="11" t="s">
        <v>45</v>
      </c>
      <c r="C38" s="43">
        <v>36.549012265390999</v>
      </c>
      <c r="D38" s="12"/>
      <c r="E38" s="13"/>
    </row>
    <row r="39" spans="1:5" ht="15" customHeight="1" x14ac:dyDescent="0.2">
      <c r="B39" s="11" t="s">
        <v>46</v>
      </c>
      <c r="C39" s="43">
        <v>50.735712442090602</v>
      </c>
      <c r="D39" s="12"/>
      <c r="E39" s="12"/>
    </row>
    <row r="40" spans="1:5" ht="15" customHeight="1" x14ac:dyDescent="0.2">
      <c r="B40" s="11" t="s">
        <v>47</v>
      </c>
      <c r="C40" s="100">
        <v>4.01</v>
      </c>
    </row>
    <row r="41" spans="1:5" ht="15" customHeight="1" x14ac:dyDescent="0.2">
      <c r="B41" s="11" t="s">
        <v>48</v>
      </c>
      <c r="C41" s="45">
        <v>0.12</v>
      </c>
    </row>
    <row r="42" spans="1:5" ht="15" customHeight="1" x14ac:dyDescent="0.2">
      <c r="B42" s="11" t="s">
        <v>49</v>
      </c>
      <c r="C42" s="43">
        <v>24.614252669999999</v>
      </c>
    </row>
    <row r="43" spans="1:5" ht="15.75" customHeight="1" x14ac:dyDescent="0.2">
      <c r="D43" s="12"/>
    </row>
    <row r="44" spans="1:5" ht="15.75" customHeight="1" x14ac:dyDescent="0.2">
      <c r="A44" s="8" t="s">
        <v>50</v>
      </c>
      <c r="D44" s="12"/>
    </row>
    <row r="45" spans="1:5" ht="15.75" customHeight="1" x14ac:dyDescent="0.2">
      <c r="B45" s="11" t="s">
        <v>51</v>
      </c>
      <c r="C45" s="45">
        <v>0</v>
      </c>
      <c r="D45" s="12"/>
    </row>
    <row r="46" spans="1:5" ht="15.75" customHeight="1" x14ac:dyDescent="0.2">
      <c r="B46" s="11" t="s">
        <v>52</v>
      </c>
      <c r="C46" s="45">
        <v>9.6231899999999995E-2</v>
      </c>
      <c r="D46" s="12"/>
    </row>
    <row r="47" spans="1:5" ht="15.75" customHeight="1" x14ac:dyDescent="0.2">
      <c r="B47" s="11" t="s">
        <v>53</v>
      </c>
      <c r="C47" s="45">
        <v>0.1543609</v>
      </c>
      <c r="D47" s="12"/>
      <c r="E47" s="13"/>
    </row>
    <row r="48" spans="1:5" ht="15" customHeight="1" x14ac:dyDescent="0.2">
      <c r="B48" s="11" t="s">
        <v>54</v>
      </c>
      <c r="C48" s="46">
        <v>0.74940719999999994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55</v>
      </c>
      <c r="D50" s="12"/>
    </row>
    <row r="51" spans="1:4" ht="15.75" customHeight="1" x14ac:dyDescent="0.2">
      <c r="B51" s="11" t="s">
        <v>56</v>
      </c>
      <c r="C51" s="100">
        <v>3.3</v>
      </c>
      <c r="D51" s="12"/>
    </row>
    <row r="52" spans="1:4" ht="15" customHeight="1" x14ac:dyDescent="0.2">
      <c r="B52" s="11" t="s">
        <v>57</v>
      </c>
      <c r="C52" s="100">
        <v>3.3</v>
      </c>
    </row>
    <row r="53" spans="1:4" ht="15.75" customHeight="1" x14ac:dyDescent="0.2">
      <c r="B53" s="11" t="s">
        <v>58</v>
      </c>
      <c r="C53" s="100">
        <v>3.3</v>
      </c>
    </row>
    <row r="54" spans="1:4" ht="15.75" customHeight="1" x14ac:dyDescent="0.2">
      <c r="B54" s="11" t="s">
        <v>59</v>
      </c>
      <c r="C54" s="100">
        <v>3.3</v>
      </c>
    </row>
    <row r="55" spans="1:4" ht="15.75" customHeight="1" x14ac:dyDescent="0.2">
      <c r="B55" s="11" t="s">
        <v>60</v>
      </c>
      <c r="C55" s="100">
        <v>3.3</v>
      </c>
    </row>
    <row r="57" spans="1:4" ht="15.75" customHeight="1" x14ac:dyDescent="0.2">
      <c r="A57" s="8" t="s">
        <v>61</v>
      </c>
    </row>
    <row r="58" spans="1:4" ht="15.75" customHeight="1" x14ac:dyDescent="0.2">
      <c r="B58" s="5" t="s">
        <v>62</v>
      </c>
      <c r="C58" s="45">
        <v>2.181818181818182E-2</v>
      </c>
    </row>
    <row r="59" spans="1:4" ht="15.75" customHeight="1" x14ac:dyDescent="0.2">
      <c r="B59" s="11" t="s">
        <v>63</v>
      </c>
      <c r="C59" s="45">
        <v>0.56030799999999992</v>
      </c>
    </row>
    <row r="60" spans="1:4" ht="15.75" customHeight="1" x14ac:dyDescent="0.2">
      <c r="B60" s="11" t="s">
        <v>64</v>
      </c>
      <c r="C60" s="45">
        <v>4.5999999999999999E-2</v>
      </c>
    </row>
    <row r="61" spans="1:4" ht="15.75" customHeight="1" x14ac:dyDescent="0.2">
      <c r="B61" s="11" t="s">
        <v>65</v>
      </c>
      <c r="C61" s="45">
        <v>1.4E-2</v>
      </c>
    </row>
    <row r="62" spans="1:4" ht="15.75" customHeight="1" x14ac:dyDescent="0.2">
      <c r="B62" s="11" t="s">
        <v>67</v>
      </c>
      <c r="C62" s="44">
        <v>0.14599999999999999</v>
      </c>
    </row>
    <row r="63" spans="1:4" ht="15.75" customHeight="1" x14ac:dyDescent="0.2">
      <c r="A63" s="4"/>
    </row>
  </sheetData>
  <sheetProtection algorithmName="SHA-512" hashValue="7Dj9A2Y3Ew1xa2+6MXa5AV4VKFDKGSN5tqYJ6LnN/OoOABI0dy/Pi0QRhf6KjU01oykMZTYkRvifSIs3vdh4qQ==" saltValue="2x382fhOhQBuvO5m820Cu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">
      <c r="A2" s="5">
        <f>start_year</f>
        <v>2021</v>
      </c>
      <c r="B2" s="49">
        <v>2584.1284000000001</v>
      </c>
      <c r="C2" s="49">
        <v>5700</v>
      </c>
      <c r="D2" s="49">
        <v>11000</v>
      </c>
      <c r="E2" s="49">
        <v>7400</v>
      </c>
      <c r="F2" s="49">
        <v>3400</v>
      </c>
      <c r="G2" s="17">
        <f t="shared" ref="G2:G11" si="0">C2+D2+E2+F2</f>
        <v>27500</v>
      </c>
      <c r="H2" s="17">
        <f t="shared" ref="H2:H11" si="1">(B2 + stillbirth*B2/(1000-stillbirth))/(1-abortion)</f>
        <v>3010.6135480171652</v>
      </c>
      <c r="I2" s="17">
        <f t="shared" ref="I2:I11" si="2">G2-H2</f>
        <v>24489.386451982835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2569.8058000000001</v>
      </c>
      <c r="C3" s="50">
        <v>5500</v>
      </c>
      <c r="D3" s="50">
        <v>11000</v>
      </c>
      <c r="E3" s="50">
        <v>7700</v>
      </c>
      <c r="F3" s="50">
        <v>3700</v>
      </c>
      <c r="G3" s="17">
        <f t="shared" si="0"/>
        <v>27900</v>
      </c>
      <c r="H3" s="17">
        <f t="shared" si="1"/>
        <v>2993.9271428049356</v>
      </c>
      <c r="I3" s="17">
        <f t="shared" si="2"/>
        <v>24906.072857195064</v>
      </c>
    </row>
    <row r="4" spans="1:9" ht="15.75" customHeight="1" x14ac:dyDescent="0.2">
      <c r="A4" s="5">
        <f t="shared" si="3"/>
        <v>2023</v>
      </c>
      <c r="B4" s="49">
        <v>2578.9279999999999</v>
      </c>
      <c r="C4" s="50">
        <v>5400</v>
      </c>
      <c r="D4" s="50">
        <v>10900</v>
      </c>
      <c r="E4" s="50">
        <v>7900</v>
      </c>
      <c r="F4" s="50">
        <v>4000</v>
      </c>
      <c r="G4" s="17">
        <f t="shared" si="0"/>
        <v>28200</v>
      </c>
      <c r="H4" s="17">
        <f t="shared" si="1"/>
        <v>3004.5548727999781</v>
      </c>
      <c r="I4" s="17">
        <f t="shared" si="2"/>
        <v>25195.445127200022</v>
      </c>
    </row>
    <row r="5" spans="1:9" ht="15.75" customHeight="1" x14ac:dyDescent="0.2">
      <c r="A5" s="5">
        <f t="shared" si="3"/>
        <v>2024</v>
      </c>
      <c r="B5" s="49">
        <v>2587.7874000000002</v>
      </c>
      <c r="C5" s="50">
        <v>5400</v>
      </c>
      <c r="D5" s="50">
        <v>10900</v>
      </c>
      <c r="E5" s="50">
        <v>8100</v>
      </c>
      <c r="F5" s="50">
        <v>4400</v>
      </c>
      <c r="G5" s="17">
        <f t="shared" si="0"/>
        <v>28800</v>
      </c>
      <c r="H5" s="17">
        <f t="shared" si="1"/>
        <v>3014.8764302223199</v>
      </c>
      <c r="I5" s="17">
        <f t="shared" si="2"/>
        <v>25785.123569777679</v>
      </c>
    </row>
    <row r="6" spans="1:9" ht="15.75" customHeight="1" x14ac:dyDescent="0.2">
      <c r="A6" s="5">
        <f t="shared" si="3"/>
        <v>2025</v>
      </c>
      <c r="B6" s="49">
        <v>2596.384</v>
      </c>
      <c r="C6" s="50">
        <v>5300</v>
      </c>
      <c r="D6" s="50">
        <v>10700</v>
      </c>
      <c r="E6" s="50">
        <v>8300</v>
      </c>
      <c r="F6" s="50">
        <v>4700</v>
      </c>
      <c r="G6" s="17">
        <f t="shared" si="0"/>
        <v>29000</v>
      </c>
      <c r="H6" s="17">
        <f t="shared" si="1"/>
        <v>3024.8918150719601</v>
      </c>
      <c r="I6" s="17">
        <f t="shared" si="2"/>
        <v>25975.108184928038</v>
      </c>
    </row>
    <row r="7" spans="1:9" ht="15.75" customHeight="1" x14ac:dyDescent="0.2">
      <c r="A7" s="5">
        <f t="shared" si="3"/>
        <v>2026</v>
      </c>
      <c r="B7" s="49">
        <v>2581.2363999999998</v>
      </c>
      <c r="C7" s="50">
        <v>5200</v>
      </c>
      <c r="D7" s="50">
        <v>10600</v>
      </c>
      <c r="E7" s="50">
        <v>8500</v>
      </c>
      <c r="F7" s="50">
        <v>5000</v>
      </c>
      <c r="G7" s="17">
        <f t="shared" si="0"/>
        <v>29300</v>
      </c>
      <c r="H7" s="17">
        <f t="shared" si="1"/>
        <v>3007.2442516691717</v>
      </c>
      <c r="I7" s="17">
        <f t="shared" si="2"/>
        <v>26292.755748330826</v>
      </c>
    </row>
    <row r="8" spans="1:9" ht="15.75" customHeight="1" x14ac:dyDescent="0.2">
      <c r="A8" s="5">
        <f t="shared" si="3"/>
        <v>2027</v>
      </c>
      <c r="B8" s="49">
        <v>2565.4104000000002</v>
      </c>
      <c r="C8" s="50">
        <v>5200</v>
      </c>
      <c r="D8" s="50">
        <v>10500</v>
      </c>
      <c r="E8" s="50">
        <v>8800</v>
      </c>
      <c r="F8" s="50">
        <v>5400</v>
      </c>
      <c r="G8" s="17">
        <f t="shared" si="0"/>
        <v>29900</v>
      </c>
      <c r="H8" s="17">
        <f t="shared" si="1"/>
        <v>2988.8063249736879</v>
      </c>
      <c r="I8" s="17">
        <f t="shared" si="2"/>
        <v>26911.193675026312</v>
      </c>
    </row>
    <row r="9" spans="1:9" ht="15.75" customHeight="1" x14ac:dyDescent="0.2">
      <c r="A9" s="5">
        <f t="shared" si="3"/>
        <v>2028</v>
      </c>
      <c r="B9" s="49">
        <v>2548.9059999999999</v>
      </c>
      <c r="C9" s="50">
        <v>5200</v>
      </c>
      <c r="D9" s="50">
        <v>10300</v>
      </c>
      <c r="E9" s="50">
        <v>9100</v>
      </c>
      <c r="F9" s="50">
        <v>5700</v>
      </c>
      <c r="G9" s="17">
        <f t="shared" si="0"/>
        <v>30300</v>
      </c>
      <c r="H9" s="17">
        <f t="shared" si="1"/>
        <v>2969.5780349855063</v>
      </c>
      <c r="I9" s="17">
        <f t="shared" si="2"/>
        <v>27330.421965014495</v>
      </c>
    </row>
    <row r="10" spans="1:9" ht="15.75" customHeight="1" x14ac:dyDescent="0.2">
      <c r="A10" s="5">
        <f t="shared" si="3"/>
        <v>2029</v>
      </c>
      <c r="B10" s="49">
        <v>2531.7232000000008</v>
      </c>
      <c r="C10" s="50">
        <v>5200</v>
      </c>
      <c r="D10" s="50">
        <v>10200</v>
      </c>
      <c r="E10" s="50">
        <v>9300</v>
      </c>
      <c r="F10" s="50">
        <v>6000</v>
      </c>
      <c r="G10" s="17">
        <f t="shared" si="0"/>
        <v>30700</v>
      </c>
      <c r="H10" s="17">
        <f t="shared" si="1"/>
        <v>2949.5593817046297</v>
      </c>
      <c r="I10" s="17">
        <f t="shared" si="2"/>
        <v>27750.440618295372</v>
      </c>
    </row>
    <row r="11" spans="1:9" ht="15.75" customHeight="1" x14ac:dyDescent="0.2">
      <c r="A11" s="5">
        <f t="shared" si="3"/>
        <v>2030</v>
      </c>
      <c r="B11" s="49">
        <v>2513.8620000000001</v>
      </c>
      <c r="C11" s="50">
        <v>5200</v>
      </c>
      <c r="D11" s="50">
        <v>10000</v>
      </c>
      <c r="E11" s="50">
        <v>9400</v>
      </c>
      <c r="F11" s="50">
        <v>6300</v>
      </c>
      <c r="G11" s="17">
        <f t="shared" si="0"/>
        <v>30900</v>
      </c>
      <c r="H11" s="17">
        <f t="shared" si="1"/>
        <v>2928.7503651310544</v>
      </c>
      <c r="I11" s="17">
        <f t="shared" si="2"/>
        <v>27971.249634868946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jL9ttlm2imV5ipZtAspsSGYjmDNPBhM8W2/JFuQnFqi8h/jMzKxNtMLT36MYymMZcztHsWFiLDDtB4+Y6v8H+Q==" saltValue="S/TuMYesHnK4Vk+O04H1Zw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2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">
      <c r="B3" s="19" t="s">
        <v>78</v>
      </c>
      <c r="C3" s="55">
        <v>7.657369944615031E-3</v>
      </c>
    </row>
    <row r="4" spans="1:8" ht="15.75" customHeight="1" x14ac:dyDescent="0.2">
      <c r="B4" s="19" t="s">
        <v>79</v>
      </c>
      <c r="C4" s="101">
        <v>0.1679051777180304</v>
      </c>
    </row>
    <row r="5" spans="1:8" ht="15.75" customHeight="1" x14ac:dyDescent="0.2">
      <c r="B5" s="19" t="s">
        <v>80</v>
      </c>
      <c r="C5" s="101">
        <v>7.8118373834736701E-2</v>
      </c>
    </row>
    <row r="6" spans="1:8" ht="15.75" customHeight="1" x14ac:dyDescent="0.2">
      <c r="B6" s="19" t="s">
        <v>81</v>
      </c>
      <c r="C6" s="101">
        <v>0.29627379387842351</v>
      </c>
    </row>
    <row r="7" spans="1:8" ht="15.75" customHeight="1" x14ac:dyDescent="0.2">
      <c r="B7" s="19" t="s">
        <v>82</v>
      </c>
      <c r="C7" s="101">
        <v>0.2627464776007255</v>
      </c>
    </row>
    <row r="8" spans="1:8" ht="15.75" customHeight="1" x14ac:dyDescent="0.2">
      <c r="B8" s="19" t="s">
        <v>83</v>
      </c>
      <c r="C8" s="101">
        <v>1.5821735643554241E-2</v>
      </c>
    </row>
    <row r="9" spans="1:8" ht="15.75" customHeight="1" x14ac:dyDescent="0.2">
      <c r="B9" s="19" t="s">
        <v>84</v>
      </c>
      <c r="C9" s="101">
        <v>0.1059528266969353</v>
      </c>
    </row>
    <row r="10" spans="1:8" ht="15.75" customHeight="1" x14ac:dyDescent="0.2">
      <c r="B10" s="19" t="s">
        <v>85</v>
      </c>
      <c r="C10" s="101">
        <v>6.552424468297928E-2</v>
      </c>
    </row>
    <row r="11" spans="1:8" ht="15.75" customHeight="1" x14ac:dyDescent="0.2">
      <c r="B11" s="27" t="s">
        <v>41</v>
      </c>
      <c r="C11" s="48">
        <f>SUM(C3:C10)</f>
        <v>0.99999999999999989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">
      <c r="B14" s="19" t="s">
        <v>87</v>
      </c>
      <c r="C14" s="55">
        <v>0.15015934860680141</v>
      </c>
      <c r="D14" s="55">
        <v>0.15015934860680141</v>
      </c>
      <c r="E14" s="55">
        <v>0.15015934860680141</v>
      </c>
      <c r="F14" s="55">
        <v>0.15015934860680141</v>
      </c>
    </row>
    <row r="15" spans="1:8" ht="15.75" customHeight="1" x14ac:dyDescent="0.2">
      <c r="B15" s="19" t="s">
        <v>88</v>
      </c>
      <c r="C15" s="101">
        <v>0.26544604907649128</v>
      </c>
      <c r="D15" s="101">
        <v>0.26544604907649128</v>
      </c>
      <c r="E15" s="101">
        <v>0.26544604907649128</v>
      </c>
      <c r="F15" s="101">
        <v>0.26544604907649128</v>
      </c>
    </row>
    <row r="16" spans="1:8" ht="15.75" customHeight="1" x14ac:dyDescent="0.2">
      <c r="B16" s="19" t="s">
        <v>89</v>
      </c>
      <c r="C16" s="101">
        <v>4.3463038117430249E-2</v>
      </c>
      <c r="D16" s="101">
        <v>4.3463038117430249E-2</v>
      </c>
      <c r="E16" s="101">
        <v>4.3463038117430249E-2</v>
      </c>
      <c r="F16" s="101">
        <v>4.3463038117430249E-2</v>
      </c>
    </row>
    <row r="17" spans="1:8" ht="15.75" customHeight="1" x14ac:dyDescent="0.2">
      <c r="B17" s="19" t="s">
        <v>90</v>
      </c>
      <c r="C17" s="101">
        <v>3.034588114818209E-2</v>
      </c>
      <c r="D17" s="101">
        <v>3.034588114818209E-2</v>
      </c>
      <c r="E17" s="101">
        <v>3.034588114818209E-2</v>
      </c>
      <c r="F17" s="101">
        <v>3.034588114818209E-2</v>
      </c>
    </row>
    <row r="18" spans="1:8" ht="15.75" customHeight="1" x14ac:dyDescent="0.2">
      <c r="B18" s="19" t="s">
        <v>91</v>
      </c>
      <c r="C18" s="101">
        <v>2.8040054880726622E-3</v>
      </c>
      <c r="D18" s="101">
        <v>2.8040054880726622E-3</v>
      </c>
      <c r="E18" s="101">
        <v>2.8040054880726622E-3</v>
      </c>
      <c r="F18" s="101">
        <v>2.8040054880726622E-3</v>
      </c>
    </row>
    <row r="19" spans="1:8" ht="15.75" customHeight="1" x14ac:dyDescent="0.2">
      <c r="B19" s="19" t="s">
        <v>92</v>
      </c>
      <c r="C19" s="101">
        <v>3.365515816755385E-2</v>
      </c>
      <c r="D19" s="101">
        <v>3.365515816755385E-2</v>
      </c>
      <c r="E19" s="101">
        <v>3.365515816755385E-2</v>
      </c>
      <c r="F19" s="101">
        <v>3.365515816755385E-2</v>
      </c>
    </row>
    <row r="20" spans="1:8" ht="15.75" customHeight="1" x14ac:dyDescent="0.2">
      <c r="B20" s="19" t="s">
        <v>93</v>
      </c>
      <c r="C20" s="101">
        <v>3.1786054073555663E-2</v>
      </c>
      <c r="D20" s="101">
        <v>3.1786054073555663E-2</v>
      </c>
      <c r="E20" s="101">
        <v>3.1786054073555663E-2</v>
      </c>
      <c r="F20" s="101">
        <v>3.1786054073555663E-2</v>
      </c>
    </row>
    <row r="21" spans="1:8" ht="15.75" customHeight="1" x14ac:dyDescent="0.2">
      <c r="B21" s="19" t="s">
        <v>94</v>
      </c>
      <c r="C21" s="101">
        <v>0.13649952315063441</v>
      </c>
      <c r="D21" s="101">
        <v>0.13649952315063441</v>
      </c>
      <c r="E21" s="101">
        <v>0.13649952315063441</v>
      </c>
      <c r="F21" s="101">
        <v>0.13649952315063441</v>
      </c>
    </row>
    <row r="22" spans="1:8" ht="15.75" customHeight="1" x14ac:dyDescent="0.2">
      <c r="B22" s="19" t="s">
        <v>95</v>
      </c>
      <c r="C22" s="101">
        <v>0.30584094217127822</v>
      </c>
      <c r="D22" s="101">
        <v>0.30584094217127822</v>
      </c>
      <c r="E22" s="101">
        <v>0.30584094217127822</v>
      </c>
      <c r="F22" s="101">
        <v>0.30584094217127822</v>
      </c>
    </row>
    <row r="23" spans="1:8" ht="15.75" customHeight="1" x14ac:dyDescent="0.2">
      <c r="B23" s="27" t="s">
        <v>41</v>
      </c>
      <c r="C23" s="48">
        <f>SUM(C14:C22)</f>
        <v>0.99999999999999978</v>
      </c>
      <c r="D23" s="48">
        <f>SUM(D14:D22)</f>
        <v>0.99999999999999978</v>
      </c>
      <c r="E23" s="48">
        <f>SUM(E14:E22)</f>
        <v>0.99999999999999978</v>
      </c>
      <c r="F23" s="48">
        <f>SUM(F14:F22)</f>
        <v>0.99999999999999978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">
      <c r="B26" s="19" t="s">
        <v>101</v>
      </c>
      <c r="C26" s="55">
        <v>8.7529259999999998E-2</v>
      </c>
    </row>
    <row r="27" spans="1:8" ht="15.75" customHeight="1" x14ac:dyDescent="0.2">
      <c r="B27" s="19" t="s">
        <v>102</v>
      </c>
      <c r="C27" s="101">
        <v>8.5087389999999995E-3</v>
      </c>
    </row>
    <row r="28" spans="1:8" ht="15.75" customHeight="1" x14ac:dyDescent="0.2">
      <c r="B28" s="19" t="s">
        <v>103</v>
      </c>
      <c r="C28" s="101">
        <v>0.15587014399999999</v>
      </c>
    </row>
    <row r="29" spans="1:8" ht="15.75" customHeight="1" x14ac:dyDescent="0.2">
      <c r="B29" s="19" t="s">
        <v>104</v>
      </c>
      <c r="C29" s="101">
        <v>0.16769983199999999</v>
      </c>
    </row>
    <row r="30" spans="1:8" ht="15.75" customHeight="1" x14ac:dyDescent="0.2">
      <c r="B30" s="19" t="s">
        <v>2</v>
      </c>
      <c r="C30" s="101">
        <v>0.106388358</v>
      </c>
    </row>
    <row r="31" spans="1:8" ht="15.75" customHeight="1" x14ac:dyDescent="0.2">
      <c r="B31" s="19" t="s">
        <v>105</v>
      </c>
      <c r="C31" s="101">
        <v>0.108993619</v>
      </c>
    </row>
    <row r="32" spans="1:8" ht="15.75" customHeight="1" x14ac:dyDescent="0.2">
      <c r="B32" s="19" t="s">
        <v>106</v>
      </c>
      <c r="C32" s="101">
        <v>1.8349142999999998E-2</v>
      </c>
    </row>
    <row r="33" spans="2:3" ht="15.75" customHeight="1" x14ac:dyDescent="0.2">
      <c r="B33" s="19" t="s">
        <v>107</v>
      </c>
      <c r="C33" s="101">
        <v>8.4419259999999982E-2</v>
      </c>
    </row>
    <row r="34" spans="2:3" ht="15.75" customHeight="1" x14ac:dyDescent="0.2">
      <c r="B34" s="19" t="s">
        <v>108</v>
      </c>
      <c r="C34" s="101">
        <v>0.26224164300000002</v>
      </c>
    </row>
    <row r="35" spans="2:3" ht="15.75" customHeight="1" x14ac:dyDescent="0.2">
      <c r="B35" s="27" t="s">
        <v>41</v>
      </c>
      <c r="C35" s="48">
        <f>SUM(C26:C34)</f>
        <v>0.99999999800000006</v>
      </c>
    </row>
  </sheetData>
  <sheetProtection algorithmName="SHA-512" hashValue="+CvdO6DVrIv6bIeqR0G8fniYi+UCl8EJPpFGvBCEq+HBrBCKC+++vQ83/vH9XaJ35vqmhPNXCHikvqI5V3yksw==" saltValue="TdlovXJwwOdGbHex+5LMK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">
      <c r="A2" s="3" t="s">
        <v>111</v>
      </c>
      <c r="B2" s="5" t="s">
        <v>112</v>
      </c>
      <c r="C2" s="52">
        <f>IFERROR(1-_xlfn.NORM.DIST(_xlfn.NORM.INV(SUM(C4:C5), 0, 1) + 1, 0, 1, TRUE), "")</f>
        <v>0.47930938742751028</v>
      </c>
      <c r="D2" s="52">
        <f>IFERROR(1-_xlfn.NORM.DIST(_xlfn.NORM.INV(SUM(D4:D5), 0, 1) + 1, 0, 1, TRUE), "")</f>
        <v>0.47930938742751028</v>
      </c>
      <c r="E2" s="52">
        <f>IFERROR(1-_xlfn.NORM.DIST(_xlfn.NORM.INV(SUM(E4:E5), 0, 1) + 1, 0, 1, TRUE), "")</f>
        <v>0.34014292111586675</v>
      </c>
      <c r="F2" s="52">
        <f>IFERROR(1-_xlfn.NORM.DIST(_xlfn.NORM.INV(SUM(F4:F5), 0, 1) + 1, 0, 1, TRUE), "")</f>
        <v>0.28965611384214496</v>
      </c>
      <c r="G2" s="52">
        <f>IFERROR(1-_xlfn.NORM.DIST(_xlfn.NORM.INV(SUM(G4:G5), 0, 1) + 1, 0, 1, TRUE), "")</f>
        <v>0.20340579616572763</v>
      </c>
    </row>
    <row r="3" spans="1:15" ht="15.75" customHeight="1" x14ac:dyDescent="0.2">
      <c r="B3" s="5" t="s">
        <v>113</v>
      </c>
      <c r="C3" s="52">
        <f>IFERROR(_xlfn.NORM.DIST(_xlfn.NORM.INV(SUM(C4:C5), 0, 1) + 1, 0, 1, TRUE) - SUM(C4:C5), "")</f>
        <v>0.34915466057248973</v>
      </c>
      <c r="D3" s="52">
        <f>IFERROR(_xlfn.NORM.DIST(_xlfn.NORM.INV(SUM(D4:D5), 0, 1) + 1, 0, 1, TRUE) - SUM(D4:D5), "")</f>
        <v>0.34915466057248973</v>
      </c>
      <c r="E3" s="52">
        <f>IFERROR(_xlfn.NORM.DIST(_xlfn.NORM.INV(SUM(E4:E5), 0, 1) + 1, 0, 1, TRUE) - SUM(E4:E5), "")</f>
        <v>0.38156639788413327</v>
      </c>
      <c r="F3" s="52">
        <f>IFERROR(_xlfn.NORM.DIST(_xlfn.NORM.INV(SUM(F4:F5), 0, 1) + 1, 0, 1, TRUE) - SUM(F4:F5), "")</f>
        <v>0.38240453015785503</v>
      </c>
      <c r="G3" s="52">
        <f>IFERROR(_xlfn.NORM.DIST(_xlfn.NORM.INV(SUM(G4:G5), 0, 1) + 1, 0, 1, TRUE) - SUM(G4:G5), "")</f>
        <v>0.36427882383427235</v>
      </c>
    </row>
    <row r="4" spans="1:15" ht="15.75" customHeight="1" x14ac:dyDescent="0.2">
      <c r="B4" s="5" t="s">
        <v>114</v>
      </c>
      <c r="C4" s="45">
        <v>0.13261111</v>
      </c>
      <c r="D4" s="53">
        <v>0.13261111</v>
      </c>
      <c r="E4" s="53">
        <v>0.19086748000000001</v>
      </c>
      <c r="F4" s="53">
        <v>0.23636545</v>
      </c>
      <c r="G4" s="53">
        <v>0.28320193999999999</v>
      </c>
    </row>
    <row r="5" spans="1:15" ht="15.75" customHeight="1" x14ac:dyDescent="0.2">
      <c r="B5" s="5" t="s">
        <v>115</v>
      </c>
      <c r="C5" s="45">
        <v>3.8924842000000001E-2</v>
      </c>
      <c r="D5" s="53">
        <v>3.8924842000000001E-2</v>
      </c>
      <c r="E5" s="53">
        <v>8.7423201000000006E-2</v>
      </c>
      <c r="F5" s="53">
        <v>9.1573905999999997E-2</v>
      </c>
      <c r="G5" s="53">
        <v>0.14911344000000001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116</v>
      </c>
      <c r="B8" s="5" t="s">
        <v>117</v>
      </c>
      <c r="C8" s="52">
        <f>IFERROR(1-_xlfn.NORM.DIST(_xlfn.NORM.INV(SUM(C10:C11), 0, 1) + 1, 0, 1, TRUE), "")</f>
        <v>0.62228245443092634</v>
      </c>
      <c r="D8" s="52">
        <f>IFERROR(1-_xlfn.NORM.DIST(_xlfn.NORM.INV(SUM(D10:D11), 0, 1) + 1, 0, 1, TRUE), "")</f>
        <v>0.62228245443092634</v>
      </c>
      <c r="E8" s="52">
        <f>IFERROR(1-_xlfn.NORM.DIST(_xlfn.NORM.INV(SUM(E10:E11), 0, 1) + 1, 0, 1, TRUE), "")</f>
        <v>0.70240883725994263</v>
      </c>
      <c r="F8" s="52">
        <f>IFERROR(1-_xlfn.NORM.DIST(_xlfn.NORM.INV(SUM(F10:F11), 0, 1) + 1, 0, 1, TRUE), "")</f>
        <v>0.65828626088413289</v>
      </c>
      <c r="G8" s="52">
        <f>IFERROR(1-_xlfn.NORM.DIST(_xlfn.NORM.INV(SUM(G10:G11), 0, 1) + 1, 0, 1, TRUE), "")</f>
        <v>0.6920067782465521</v>
      </c>
    </row>
    <row r="9" spans="1:15" ht="15.75" customHeight="1" x14ac:dyDescent="0.2">
      <c r="B9" s="5" t="s">
        <v>118</v>
      </c>
      <c r="C9" s="52">
        <f>IFERROR(_xlfn.NORM.DIST(_xlfn.NORM.INV(SUM(C10:C11), 0, 1) + 1, 0, 1, TRUE) - SUM(C10:C11), "")</f>
        <v>0.28286986756907367</v>
      </c>
      <c r="D9" s="52">
        <f>IFERROR(_xlfn.NORM.DIST(_xlfn.NORM.INV(SUM(D10:D11), 0, 1) + 1, 0, 1, TRUE) - SUM(D10:D11), "")</f>
        <v>0.28286986756907367</v>
      </c>
      <c r="E9" s="52">
        <f>IFERROR(_xlfn.NORM.DIST(_xlfn.NORM.INV(SUM(E10:E11), 0, 1) + 1, 0, 1, TRUE) - SUM(E10:E11), "")</f>
        <v>0.23474862484005732</v>
      </c>
      <c r="F9" s="52">
        <f>IFERROR(_xlfn.NORM.DIST(_xlfn.NORM.INV(SUM(F10:F11), 0, 1) + 1, 0, 1, TRUE) - SUM(F10:F11), "")</f>
        <v>0.2621171841158671</v>
      </c>
      <c r="G9" s="52">
        <f>IFERROR(_xlfn.NORM.DIST(_xlfn.NORM.INV(SUM(G10:G11), 0, 1) + 1, 0, 1, TRUE) - SUM(G10:G11), "")</f>
        <v>0.2413861087534479</v>
      </c>
    </row>
    <row r="10" spans="1:15" ht="15.75" customHeight="1" x14ac:dyDescent="0.2">
      <c r="B10" s="5" t="s">
        <v>119</v>
      </c>
      <c r="C10" s="45">
        <v>8.3012753000000009E-2</v>
      </c>
      <c r="D10" s="53">
        <v>8.3012753000000009E-2</v>
      </c>
      <c r="E10" s="53">
        <v>5.4330702000000002E-2</v>
      </c>
      <c r="F10" s="53">
        <v>6.6297607000000008E-2</v>
      </c>
      <c r="G10" s="53">
        <v>5.4303459999999998E-2</v>
      </c>
    </row>
    <row r="11" spans="1:15" ht="15.75" customHeight="1" x14ac:dyDescent="0.2">
      <c r="B11" s="5" t="s">
        <v>120</v>
      </c>
      <c r="C11" s="45">
        <v>1.1834925E-2</v>
      </c>
      <c r="D11" s="53">
        <v>1.1834925E-2</v>
      </c>
      <c r="E11" s="53">
        <v>8.5118359000000005E-3</v>
      </c>
      <c r="F11" s="53">
        <v>1.3298948E-2</v>
      </c>
      <c r="G11" s="53">
        <v>1.2303652999999999E-2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">
      <c r="B14" s="11" t="s">
        <v>126</v>
      </c>
      <c r="C14" s="51">
        <v>0.411891336</v>
      </c>
      <c r="D14" s="54">
        <v>0.43827971236899999</v>
      </c>
      <c r="E14" s="54">
        <v>0.43827971236899999</v>
      </c>
      <c r="F14" s="54">
        <v>0.28490576191099998</v>
      </c>
      <c r="G14" s="54">
        <v>0.28490576191099998</v>
      </c>
      <c r="H14" s="45">
        <v>0.24299999999999999</v>
      </c>
      <c r="I14" s="55">
        <v>0.24299999999999999</v>
      </c>
      <c r="J14" s="55">
        <v>0.24299999999999999</v>
      </c>
      <c r="K14" s="55">
        <v>0.24299999999999999</v>
      </c>
      <c r="L14" s="45">
        <v>0.23300000000000001</v>
      </c>
      <c r="M14" s="55">
        <v>0.23300000000000001</v>
      </c>
      <c r="N14" s="55">
        <v>0.23300000000000001</v>
      </c>
      <c r="O14" s="55">
        <v>0.23300000000000001</v>
      </c>
    </row>
    <row r="15" spans="1:15" ht="15.75" customHeight="1" x14ac:dyDescent="0.2">
      <c r="B15" s="11" t="s">
        <v>127</v>
      </c>
      <c r="C15" s="52">
        <f t="shared" ref="C15:O15" si="0">iron_deficiency_anaemia*C14</f>
        <v>0.23078601069148796</v>
      </c>
      <c r="D15" s="52">
        <f t="shared" si="0"/>
        <v>0.24557162907804961</v>
      </c>
      <c r="E15" s="52">
        <f t="shared" si="0"/>
        <v>0.24557162907804961</v>
      </c>
      <c r="F15" s="52">
        <f t="shared" si="0"/>
        <v>0.15963497764482856</v>
      </c>
      <c r="G15" s="52">
        <f t="shared" si="0"/>
        <v>0.15963497764482856</v>
      </c>
      <c r="H15" s="52">
        <f t="shared" si="0"/>
        <v>0.13615484399999997</v>
      </c>
      <c r="I15" s="52">
        <f t="shared" si="0"/>
        <v>0.13615484399999997</v>
      </c>
      <c r="J15" s="52">
        <f t="shared" si="0"/>
        <v>0.13615484399999997</v>
      </c>
      <c r="K15" s="52">
        <f t="shared" si="0"/>
        <v>0.13615484399999997</v>
      </c>
      <c r="L15" s="52">
        <f t="shared" si="0"/>
        <v>0.13055176399999999</v>
      </c>
      <c r="M15" s="52">
        <f t="shared" si="0"/>
        <v>0.13055176399999999</v>
      </c>
      <c r="N15" s="52">
        <f t="shared" si="0"/>
        <v>0.13055176399999999</v>
      </c>
      <c r="O15" s="52">
        <f t="shared" si="0"/>
        <v>0.13055176399999999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DcR8rSfPQkFRbI1GSxaFfMJOTCzakLQEKlCvQRZlFsVBQjOgSjUfuVzTH4x6bkdMQAI79MoIsvXk9tNaLGLGGA==" saltValue="1GObdfL4uney5szRcck7p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">
      <c r="A2" s="3" t="s">
        <v>128</v>
      </c>
      <c r="B2" s="3" t="s">
        <v>129</v>
      </c>
      <c r="C2" s="45">
        <v>0.73135047909999995</v>
      </c>
      <c r="D2" s="53">
        <v>0.56024585999999998</v>
      </c>
      <c r="E2" s="53">
        <v>0</v>
      </c>
      <c r="F2" s="53">
        <v>0</v>
      </c>
      <c r="G2" s="53">
        <v>0</v>
      </c>
    </row>
    <row r="3" spans="1:7" x14ac:dyDescent="0.2">
      <c r="B3" s="3" t="s">
        <v>130</v>
      </c>
      <c r="C3" s="53">
        <v>0.10681968</v>
      </c>
      <c r="D3" s="53">
        <v>0.15972823</v>
      </c>
      <c r="E3" s="53">
        <v>0</v>
      </c>
      <c r="F3" s="53">
        <v>0</v>
      </c>
      <c r="G3" s="53">
        <v>0</v>
      </c>
    </row>
    <row r="4" spans="1:7" x14ac:dyDescent="0.2">
      <c r="B4" s="3" t="s">
        <v>131</v>
      </c>
      <c r="C4" s="53">
        <v>8.5384884000000008E-2</v>
      </c>
      <c r="D4" s="53">
        <v>0.22809884999999999</v>
      </c>
      <c r="E4" s="53">
        <v>0.94018203020095792</v>
      </c>
      <c r="F4" s="53">
        <v>0.84757745265960693</v>
      </c>
      <c r="G4" s="53">
        <v>0</v>
      </c>
    </row>
    <row r="5" spans="1:7" x14ac:dyDescent="0.2">
      <c r="B5" s="3" t="s">
        <v>132</v>
      </c>
      <c r="C5" s="52">
        <v>7.6444969180000003E-2</v>
      </c>
      <c r="D5" s="52">
        <v>5.1927031999999998E-2</v>
      </c>
      <c r="E5" s="52">
        <f>1-SUM(E2:E4)</f>
        <v>5.9817969799042081E-2</v>
      </c>
      <c r="F5" s="52">
        <f>1-SUM(F2:F4)</f>
        <v>0.15242254734039307</v>
      </c>
      <c r="G5" s="52">
        <f>1-SUM(G2:G4)</f>
        <v>1</v>
      </c>
    </row>
  </sheetData>
  <sheetProtection algorithmName="SHA-512" hashValue="JW70ij2uFVFDg5/wJlZmZNDtmr68oVFfY7MC24GLs51y8ToOgJPTZJoAHn8Tq1Y0dJ69yCWXDsiV27Ggv/mf0w==" saltValue="FGxofLXMU2gJSU9tsjmMYA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KHv2Rdx25QoPEc0p1iFyGIitqdImHsUjKoN4b53BOeIaOsr+G8z6gJG5C4T/NKK/UEGrhGE5J9aK0EnuhSWiwQ==" saltValue="02+bwRpKOhyKLy0m4hder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4</v>
      </c>
      <c r="B1" s="4" t="s">
        <v>144</v>
      </c>
    </row>
    <row r="2" spans="1:2" x14ac:dyDescent="0.2">
      <c r="A2" s="8" t="s">
        <v>145</v>
      </c>
      <c r="B2" s="41">
        <v>10</v>
      </c>
    </row>
    <row r="3" spans="1:2" x14ac:dyDescent="0.2">
      <c r="A3" s="8" t="s">
        <v>150</v>
      </c>
      <c r="B3" s="41">
        <v>10</v>
      </c>
    </row>
    <row r="4" spans="1:2" x14ac:dyDescent="0.2">
      <c r="A4" s="8" t="s">
        <v>146</v>
      </c>
      <c r="B4" s="41">
        <v>10</v>
      </c>
    </row>
    <row r="5" spans="1:2" x14ac:dyDescent="0.2">
      <c r="A5" s="8" t="s">
        <v>147</v>
      </c>
      <c r="B5" s="41">
        <v>10</v>
      </c>
    </row>
    <row r="6" spans="1:2" x14ac:dyDescent="0.2">
      <c r="A6" s="8" t="s">
        <v>148</v>
      </c>
      <c r="B6" s="41">
        <v>10</v>
      </c>
    </row>
    <row r="7" spans="1:2" x14ac:dyDescent="0.2">
      <c r="A7" s="8" t="s">
        <v>149</v>
      </c>
      <c r="B7" s="41">
        <v>10</v>
      </c>
    </row>
  </sheetData>
  <sheetProtection algorithmName="SHA-512" hashValue="HuPq3LeZ5mmT6z/uIQybDmE3CHYsG1WMeTBV5S5pSZOhQQgfNG7eBXDt2Lrps0o8ThRhCYJCINwOdH8oqmsEGQ==" saltValue="95ydGGyj46Tjr2xLnnE1dw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x14ac:dyDescent="0.2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97</v>
      </c>
      <c r="C5" s="47"/>
      <c r="D5" s="47"/>
      <c r="E5" s="38" t="str">
        <f>IF(E$7="","",E$7)</f>
        <v/>
      </c>
    </row>
    <row r="6" spans="1:5" x14ac:dyDescent="0.2">
      <c r="B6" s="32" t="s">
        <v>98</v>
      </c>
      <c r="C6" s="47"/>
      <c r="D6" s="47"/>
      <c r="E6" s="38" t="str">
        <f>IF(E$7="","",E$7)</f>
        <v/>
      </c>
    </row>
    <row r="7" spans="1:5" x14ac:dyDescent="0.2">
      <c r="B7" s="32" t="s">
        <v>156</v>
      </c>
      <c r="C7" s="31"/>
      <c r="D7" s="30"/>
      <c r="E7" s="47"/>
    </row>
    <row r="9" spans="1:5" x14ac:dyDescent="0.2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">
      <c r="B10" s="32" t="s">
        <v>109</v>
      </c>
      <c r="C10" s="47"/>
      <c r="D10" s="47"/>
      <c r="E10" s="38" t="str">
        <f>IF(E$7="","",E$7)</f>
        <v/>
      </c>
    </row>
    <row r="11" spans="1:5" x14ac:dyDescent="0.2">
      <c r="B11" s="32" t="s">
        <v>96</v>
      </c>
      <c r="C11" s="47"/>
      <c r="D11" s="47"/>
      <c r="E11" s="38" t="str">
        <f>IF(E$7="","",E$7)</f>
        <v/>
      </c>
    </row>
    <row r="12" spans="1:5" x14ac:dyDescent="0.2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156</v>
      </c>
      <c r="C14" s="31"/>
      <c r="D14" s="30"/>
      <c r="E14" s="47"/>
    </row>
    <row r="16" spans="1:5" x14ac:dyDescent="0.2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156</v>
      </c>
      <c r="C21" s="31"/>
      <c r="D21" s="30"/>
      <c r="E21" s="47"/>
    </row>
  </sheetData>
  <sheetProtection algorithmName="SHA-512" hashValue="kZOzHIv1TgRt9FxUpzdjS0lpXZ6nI3TnGZPE7yFwiBdP1dyvGGTsCW4NbBfM3aB6DyLgzmCtFyzRj8wfl7ZXpg==" saltValue="7v9bOGJ9Qd9tK6BDyEgeJ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162</v>
      </c>
      <c r="C1" s="40" t="s">
        <v>6</v>
      </c>
      <c r="D1" s="40" t="s">
        <v>163</v>
      </c>
    </row>
    <row r="2" spans="1:4" x14ac:dyDescent="0.2">
      <c r="A2" s="40" t="s">
        <v>160</v>
      </c>
      <c r="B2" s="32" t="s">
        <v>161</v>
      </c>
      <c r="C2" s="32" t="s">
        <v>165</v>
      </c>
      <c r="D2" s="47"/>
    </row>
    <row r="3" spans="1:4" x14ac:dyDescent="0.2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r7j2P9FZ22VEghN+73BR4JmX6sey7OF4dkj2yiZkWUEGPjGmKKrssv5MtS8piVGT9aDfU+JPHYGbgYy6YthoGQ==" saltValue="eME3zZ8qMcOJEKspNR13vA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">
      <c r="A2" s="5" t="s">
        <v>168</v>
      </c>
      <c r="B2" s="45">
        <v>0.26920826853857499</v>
      </c>
      <c r="C2" s="98">
        <v>0.95</v>
      </c>
      <c r="D2" s="56">
        <v>51.649200023798471</v>
      </c>
      <c r="E2" s="56" t="s">
        <v>201</v>
      </c>
      <c r="F2" s="98">
        <v>1</v>
      </c>
      <c r="G2" s="98">
        <v>1</v>
      </c>
    </row>
    <row r="3" spans="1:7" ht="15.75" customHeight="1" x14ac:dyDescent="0.2">
      <c r="A3" s="5" t="s">
        <v>169</v>
      </c>
      <c r="B3" s="45">
        <v>0</v>
      </c>
      <c r="C3" s="98">
        <v>0.95</v>
      </c>
      <c r="D3" s="56">
        <v>39.737125372069528</v>
      </c>
      <c r="E3" s="56" t="s">
        <v>201</v>
      </c>
      <c r="F3" s="98">
        <v>1</v>
      </c>
      <c r="G3" s="98">
        <v>1</v>
      </c>
    </row>
    <row r="4" spans="1:7" ht="15.75" customHeight="1" x14ac:dyDescent="0.2">
      <c r="A4" s="5" t="s">
        <v>170</v>
      </c>
      <c r="B4" s="98">
        <v>0</v>
      </c>
      <c r="C4" s="98">
        <v>0.95</v>
      </c>
      <c r="D4" s="56">
        <v>314.37491066068219</v>
      </c>
      <c r="E4" s="56" t="s">
        <v>201</v>
      </c>
      <c r="F4" s="98">
        <v>1</v>
      </c>
      <c r="G4" s="98">
        <v>1</v>
      </c>
    </row>
    <row r="5" spans="1:7" ht="15.75" customHeight="1" x14ac:dyDescent="0.2">
      <c r="A5" s="5" t="s">
        <v>171</v>
      </c>
      <c r="B5" s="98">
        <v>0</v>
      </c>
      <c r="C5" s="98">
        <v>0.95</v>
      </c>
      <c r="D5" s="56">
        <v>2.0109515487164078</v>
      </c>
      <c r="E5" s="56" t="s">
        <v>201</v>
      </c>
      <c r="F5" s="98">
        <v>1</v>
      </c>
      <c r="G5" s="98">
        <v>1</v>
      </c>
    </row>
    <row r="6" spans="1:7" ht="15.75" customHeight="1" x14ac:dyDescent="0.2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">
      <c r="A10" s="11" t="s">
        <v>176</v>
      </c>
      <c r="B10" s="45">
        <v>0</v>
      </c>
      <c r="C10" s="98">
        <v>0.95</v>
      </c>
      <c r="D10" s="56">
        <v>12.86942481586545</v>
      </c>
      <c r="E10" s="56" t="s">
        <v>201</v>
      </c>
      <c r="F10" s="98">
        <v>1</v>
      </c>
      <c r="G10" s="98">
        <v>1</v>
      </c>
    </row>
    <row r="11" spans="1:7" ht="15.75" customHeight="1" x14ac:dyDescent="0.2">
      <c r="A11" s="11" t="s">
        <v>177</v>
      </c>
      <c r="B11" s="98">
        <v>0</v>
      </c>
      <c r="C11" s="98">
        <v>0.95</v>
      </c>
      <c r="D11" s="56">
        <v>12.86942481586545</v>
      </c>
      <c r="E11" s="56" t="s">
        <v>201</v>
      </c>
      <c r="F11" s="98">
        <v>1</v>
      </c>
      <c r="G11" s="98">
        <v>1</v>
      </c>
    </row>
    <row r="12" spans="1:7" ht="15.75" customHeight="1" x14ac:dyDescent="0.2">
      <c r="A12" s="11" t="s">
        <v>178</v>
      </c>
      <c r="B12" s="98">
        <v>0</v>
      </c>
      <c r="C12" s="98">
        <v>0.95</v>
      </c>
      <c r="D12" s="56">
        <v>12.86942481586545</v>
      </c>
      <c r="E12" s="56" t="s">
        <v>201</v>
      </c>
      <c r="F12" s="98">
        <v>1</v>
      </c>
      <c r="G12" s="98">
        <v>1</v>
      </c>
    </row>
    <row r="13" spans="1:7" ht="15.75" customHeight="1" x14ac:dyDescent="0.2">
      <c r="A13" s="11" t="s">
        <v>179</v>
      </c>
      <c r="B13" s="98">
        <v>0</v>
      </c>
      <c r="C13" s="98">
        <v>0.95</v>
      </c>
      <c r="D13" s="56">
        <v>12.86942481586545</v>
      </c>
      <c r="E13" s="56" t="s">
        <v>201</v>
      </c>
      <c r="F13" s="98">
        <v>1</v>
      </c>
      <c r="G13" s="98">
        <v>1</v>
      </c>
    </row>
    <row r="14" spans="1:7" ht="15.75" customHeight="1" x14ac:dyDescent="0.2">
      <c r="A14" s="5" t="s">
        <v>180</v>
      </c>
      <c r="B14" s="45">
        <v>0</v>
      </c>
      <c r="C14" s="98">
        <v>0.95</v>
      </c>
      <c r="D14" s="56">
        <v>12.86942481586545</v>
      </c>
      <c r="E14" s="56" t="s">
        <v>201</v>
      </c>
      <c r="F14" s="98">
        <v>1</v>
      </c>
      <c r="G14" s="98">
        <v>1</v>
      </c>
    </row>
    <row r="15" spans="1:7" ht="15.75" customHeight="1" x14ac:dyDescent="0.2">
      <c r="A15" s="5" t="s">
        <v>181</v>
      </c>
      <c r="B15" s="98">
        <v>0</v>
      </c>
      <c r="C15" s="98">
        <v>0.95</v>
      </c>
      <c r="D15" s="56">
        <v>12.86942481586545</v>
      </c>
      <c r="E15" s="56" t="s">
        <v>201</v>
      </c>
      <c r="F15" s="98">
        <v>1</v>
      </c>
      <c r="G15" s="98">
        <v>1</v>
      </c>
    </row>
    <row r="16" spans="1:7" ht="15.75" customHeight="1" x14ac:dyDescent="0.2">
      <c r="A16" s="5" t="s">
        <v>182</v>
      </c>
      <c r="B16" s="45">
        <v>0.46516892867994802</v>
      </c>
      <c r="C16" s="98">
        <v>0.95</v>
      </c>
      <c r="D16" s="56">
        <v>0.57619061576079733</v>
      </c>
      <c r="E16" s="56" t="s">
        <v>201</v>
      </c>
      <c r="F16" s="98">
        <v>1</v>
      </c>
      <c r="G16" s="98">
        <v>1</v>
      </c>
    </row>
    <row r="17" spans="1:7" ht="15.75" customHeight="1" x14ac:dyDescent="0.2">
      <c r="A17" s="5" t="s">
        <v>183</v>
      </c>
      <c r="B17" s="98">
        <v>0.93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5" customHeight="1" x14ac:dyDescent="0.2">
      <c r="A18" s="5" t="s">
        <v>157</v>
      </c>
      <c r="B18" s="98">
        <v>0</v>
      </c>
      <c r="C18" s="98">
        <v>0.95</v>
      </c>
      <c r="D18" s="56">
        <v>7.2775744227562367</v>
      </c>
      <c r="E18" s="56" t="s">
        <v>201</v>
      </c>
      <c r="F18" s="98">
        <v>1</v>
      </c>
      <c r="G18" s="98">
        <v>1</v>
      </c>
    </row>
    <row r="19" spans="1:7" ht="15.75" customHeight="1" x14ac:dyDescent="0.2">
      <c r="A19" s="5" t="s">
        <v>158</v>
      </c>
      <c r="B19" s="98">
        <v>0</v>
      </c>
      <c r="C19" s="98">
        <v>0.95</v>
      </c>
      <c r="D19" s="56">
        <v>7.2775744227562367</v>
      </c>
      <c r="E19" s="56" t="s">
        <v>201</v>
      </c>
      <c r="F19" s="98">
        <v>1</v>
      </c>
      <c r="G19" s="98">
        <v>1</v>
      </c>
    </row>
    <row r="20" spans="1:7" ht="15.75" customHeight="1" x14ac:dyDescent="0.2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">
      <c r="A21" s="5" t="s">
        <v>184</v>
      </c>
      <c r="B21" s="45">
        <v>0.3690458298</v>
      </c>
      <c r="C21" s="98">
        <v>0.95</v>
      </c>
      <c r="D21" s="56">
        <v>19.847496939662769</v>
      </c>
      <c r="E21" s="56" t="s">
        <v>201</v>
      </c>
      <c r="F21" s="98">
        <v>1</v>
      </c>
      <c r="G21" s="98">
        <v>1</v>
      </c>
    </row>
    <row r="22" spans="1:7" ht="15.75" customHeight="1" x14ac:dyDescent="0.2">
      <c r="A22" s="5" t="s">
        <v>185</v>
      </c>
      <c r="B22" s="98">
        <v>0</v>
      </c>
      <c r="C22" s="98">
        <v>0.95</v>
      </c>
      <c r="D22" s="56">
        <v>22.13366866615802</v>
      </c>
      <c r="E22" s="56" t="s">
        <v>201</v>
      </c>
      <c r="F22" s="98">
        <v>1</v>
      </c>
      <c r="G22" s="98">
        <v>1</v>
      </c>
    </row>
    <row r="23" spans="1:7" ht="15.75" customHeight="1" x14ac:dyDescent="0.2">
      <c r="A23" s="5" t="s">
        <v>186</v>
      </c>
      <c r="B23" s="98">
        <v>1.0999999999999999E-2</v>
      </c>
      <c r="C23" s="98">
        <v>0.95</v>
      </c>
      <c r="D23" s="56">
        <v>4.1901160197696434</v>
      </c>
      <c r="E23" s="56" t="s">
        <v>201</v>
      </c>
      <c r="F23" s="98">
        <v>1</v>
      </c>
      <c r="G23" s="98">
        <v>1</v>
      </c>
    </row>
    <row r="24" spans="1:7" ht="15.75" customHeight="1" x14ac:dyDescent="0.2">
      <c r="A24" s="5" t="s">
        <v>187</v>
      </c>
      <c r="B24" s="45">
        <v>0.36223946720887501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">
      <c r="A27" s="5" t="s">
        <v>190</v>
      </c>
      <c r="B27" s="45">
        <v>0.27192325121491401</v>
      </c>
      <c r="C27" s="98">
        <v>0.95</v>
      </c>
      <c r="D27" s="56">
        <v>18.21712104199856</v>
      </c>
      <c r="E27" s="56" t="s">
        <v>201</v>
      </c>
      <c r="F27" s="98">
        <v>1</v>
      </c>
      <c r="G27" s="98">
        <v>1</v>
      </c>
    </row>
    <row r="28" spans="1:7" ht="15.75" customHeight="1" x14ac:dyDescent="0.2">
      <c r="A28" s="5" t="s">
        <v>191</v>
      </c>
      <c r="B28" s="45">
        <v>0.29529529999999998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">
      <c r="A29" s="5" t="s">
        <v>192</v>
      </c>
      <c r="B29" s="45">
        <v>0</v>
      </c>
      <c r="C29" s="98">
        <v>0.95</v>
      </c>
      <c r="D29" s="56">
        <v>99.086155818641913</v>
      </c>
      <c r="E29" s="56" t="s">
        <v>201</v>
      </c>
      <c r="F29" s="98">
        <v>1</v>
      </c>
      <c r="G29" s="98">
        <v>1</v>
      </c>
    </row>
    <row r="30" spans="1:7" ht="15.75" customHeight="1" x14ac:dyDescent="0.2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">
      <c r="A31" s="5" t="s">
        <v>161</v>
      </c>
      <c r="B31" s="45">
        <v>0.1201</v>
      </c>
      <c r="C31" s="98">
        <v>0.95</v>
      </c>
      <c r="D31" s="56">
        <v>4.0703992775726512</v>
      </c>
      <c r="E31" s="56" t="s">
        <v>201</v>
      </c>
      <c r="F31" s="98">
        <v>1</v>
      </c>
      <c r="G31" s="98">
        <v>1</v>
      </c>
    </row>
    <row r="32" spans="1:7" ht="15.75" customHeight="1" x14ac:dyDescent="0.2">
      <c r="A32" s="5" t="s">
        <v>193</v>
      </c>
      <c r="B32" s="45">
        <v>0.56024585999999998</v>
      </c>
      <c r="C32" s="98">
        <v>0.95</v>
      </c>
      <c r="D32" s="56">
        <v>1.222368528253525</v>
      </c>
      <c r="E32" s="56" t="s">
        <v>201</v>
      </c>
      <c r="F32" s="98">
        <v>1</v>
      </c>
      <c r="G32" s="98">
        <v>1</v>
      </c>
    </row>
    <row r="33" spans="1:7" ht="15.75" customHeight="1" x14ac:dyDescent="0.2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">
      <c r="A34" s="5" t="s">
        <v>195</v>
      </c>
      <c r="B34" s="45">
        <v>7.3163328954350099E-2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">
      <c r="A37" s="5" t="s">
        <v>198</v>
      </c>
      <c r="B37" s="45">
        <v>0.48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">
      <c r="A38" s="5" t="s">
        <v>199</v>
      </c>
      <c r="B38" s="45">
        <v>0.332870572805405</v>
      </c>
      <c r="C38" s="98">
        <v>0.95</v>
      </c>
      <c r="D38" s="56">
        <v>4.9708811231948573</v>
      </c>
      <c r="E38" s="56" t="s">
        <v>201</v>
      </c>
      <c r="F38" s="98">
        <v>1</v>
      </c>
      <c r="G38" s="98">
        <v>1</v>
      </c>
    </row>
    <row r="39" spans="1:7" ht="15.75" customHeight="1" x14ac:dyDescent="0.2">
      <c r="A39" s="5" t="s">
        <v>200</v>
      </c>
      <c r="B39" s="45">
        <v>0.13494430539999999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5dFop7+buMDJ4M66pwVj2tnn997ofP53TdM2x/CxfUhQBdimAnD3ivmPZym8tsCAYCkM6CJm45qep0tibqwlUw==" saltValue="RY+2MNTxP2izfMmxWADOC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160</v>
      </c>
      <c r="B1" s="4" t="s">
        <v>206</v>
      </c>
      <c r="C1" s="4" t="s">
        <v>207</v>
      </c>
    </row>
    <row r="2" spans="1:3" x14ac:dyDescent="0.2">
      <c r="A2" s="57" t="s">
        <v>180</v>
      </c>
      <c r="B2" s="47" t="s">
        <v>190</v>
      </c>
      <c r="C2" s="47"/>
    </row>
    <row r="3" spans="1:3" x14ac:dyDescent="0.2">
      <c r="A3" s="57" t="s">
        <v>181</v>
      </c>
      <c r="B3" s="47" t="s">
        <v>190</v>
      </c>
      <c r="C3" s="47"/>
    </row>
    <row r="4" spans="1:3" x14ac:dyDescent="0.2">
      <c r="A4" s="57" t="s">
        <v>192</v>
      </c>
      <c r="B4" s="47" t="s">
        <v>185</v>
      </c>
      <c r="C4" s="47"/>
    </row>
    <row r="5" spans="1:3" x14ac:dyDescent="0.2">
      <c r="A5" s="57" t="s">
        <v>189</v>
      </c>
      <c r="B5" s="47" t="s">
        <v>185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IC5JqI51lirqKFG1kAAAcYHSBnjux31E69ev2ojcHJReTR/vsQYmeOxWITCfv2hznfyoZhoiclvF1cvDW0JIxg==" saltValue="of0ZSqZ60XkijTNU8H3iW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160</v>
      </c>
    </row>
    <row r="2" spans="1:1" x14ac:dyDescent="0.2">
      <c r="A2" s="33" t="s">
        <v>172</v>
      </c>
    </row>
    <row r="3" spans="1:1" x14ac:dyDescent="0.2">
      <c r="A3" s="33" t="s">
        <v>182</v>
      </c>
    </row>
    <row r="4" spans="1:1" x14ac:dyDescent="0.2">
      <c r="A4" s="33" t="s">
        <v>186</v>
      </c>
    </row>
    <row r="5" spans="1:1" x14ac:dyDescent="0.2">
      <c r="A5" s="33" t="s">
        <v>194</v>
      </c>
    </row>
    <row r="6" spans="1:1" x14ac:dyDescent="0.2">
      <c r="A6" s="33" t="s">
        <v>195</v>
      </c>
    </row>
    <row r="7" spans="1:1" x14ac:dyDescent="0.2">
      <c r="A7" s="33" t="s">
        <v>196</v>
      </c>
    </row>
    <row r="8" spans="1:1" x14ac:dyDescent="0.2">
      <c r="A8" s="33" t="s">
        <v>197</v>
      </c>
    </row>
    <row r="9" spans="1:1" x14ac:dyDescent="0.2">
      <c r="A9" s="33" t="s">
        <v>198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rs8Xlf1psuvhSlcRLwcnZNYUNhNIo5u1dKQrws6aaWZUpRQKZVF+j2Ana/jnQTfsSiK8Do/367p9a3nufn0lGQ==" saltValue="yKhCS2iJmU4b/GY7fANY1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">
      <c r="A2" s="3" t="s">
        <v>87</v>
      </c>
      <c r="B2" s="21">
        <f>'Données pop de l''année de ref'!C51</f>
        <v>3.3</v>
      </c>
      <c r="C2" s="21">
        <f>'Données pop de l''année de ref'!C52</f>
        <v>3.3</v>
      </c>
      <c r="D2" s="21">
        <f>'Données pop de l''année de ref'!C53</f>
        <v>3.3</v>
      </c>
      <c r="E2" s="21">
        <f>'Données pop de l''année de ref'!C54</f>
        <v>3.3</v>
      </c>
      <c r="F2" s="21">
        <f>'Données pop de l''année de ref'!C55</f>
        <v>3.3</v>
      </c>
    </row>
    <row r="3" spans="1:6" ht="15.75" customHeight="1" x14ac:dyDescent="0.2">
      <c r="A3" s="3" t="s">
        <v>209</v>
      </c>
      <c r="B3" s="21">
        <f>frac_mam_1month * 2.6</f>
        <v>0.21583315780000004</v>
      </c>
      <c r="C3" s="21">
        <f>frac_mam_1_5months * 2.6</f>
        <v>0.21583315780000004</v>
      </c>
      <c r="D3" s="21">
        <f>frac_mam_6_11months * 2.6</f>
        <v>0.14125982520000002</v>
      </c>
      <c r="E3" s="21">
        <f>frac_mam_12_23months * 2.6</f>
        <v>0.17237377820000002</v>
      </c>
      <c r="F3" s="21">
        <f>frac_mam_24_59months * 2.6</f>
        <v>0.14118899600000001</v>
      </c>
    </row>
    <row r="4" spans="1:6" ht="15.75" customHeight="1" x14ac:dyDescent="0.2">
      <c r="A4" s="3" t="s">
        <v>208</v>
      </c>
      <c r="B4" s="21">
        <f>frac_sam_1month * 2.6</f>
        <v>3.0770805000000002E-2</v>
      </c>
      <c r="C4" s="21">
        <f>frac_sam_1_5months * 2.6</f>
        <v>3.0770805000000002E-2</v>
      </c>
      <c r="D4" s="21">
        <f>frac_sam_6_11months * 2.6</f>
        <v>2.2130773340000003E-2</v>
      </c>
      <c r="E4" s="21">
        <f>frac_sam_12_23months * 2.6</f>
        <v>3.45772648E-2</v>
      </c>
      <c r="F4" s="21">
        <f>frac_sam_24_59months * 2.6</f>
        <v>3.1989497800000002E-2</v>
      </c>
    </row>
  </sheetData>
  <sheetProtection algorithmName="SHA-512" hashValue="e06RwyIv5Rk7965B+XXvrDn3KZgU43b5vyYDNH8LmVpzSTaNVyJpVYLizDNKjzDuczt6UabqpsBGJCiL/S0rrw==" saltValue="u6ZYnmvbOJZcotUMU+t1K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">
      <c r="A2" s="4" t="s">
        <v>86</v>
      </c>
      <c r="B2" s="5" t="s">
        <v>170</v>
      </c>
      <c r="C2" s="60">
        <v>0</v>
      </c>
      <c r="D2" s="60">
        <f>food_insecure</f>
        <v>0.308</v>
      </c>
      <c r="E2" s="60">
        <f>food_insecure</f>
        <v>0.308</v>
      </c>
      <c r="F2" s="60">
        <f>food_insecure</f>
        <v>0.308</v>
      </c>
      <c r="G2" s="60">
        <f>food_insecure</f>
        <v>0.308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185</v>
      </c>
      <c r="C5" s="60">
        <v>0</v>
      </c>
      <c r="D5" s="60">
        <v>0</v>
      </c>
      <c r="E5" s="60">
        <f>food_insecure</f>
        <v>0.308</v>
      </c>
      <c r="F5" s="60">
        <f>food_insecure</f>
        <v>0.308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191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192</v>
      </c>
      <c r="C8" s="60">
        <v>0</v>
      </c>
      <c r="D8" s="60">
        <v>0</v>
      </c>
      <c r="E8" s="60">
        <f>food_insecure</f>
        <v>0.308</v>
      </c>
      <c r="F8" s="60">
        <f>food_insecure</f>
        <v>0.308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205</v>
      </c>
      <c r="C9" s="60">
        <v>0</v>
      </c>
      <c r="D9" s="60">
        <v>0</v>
      </c>
      <c r="E9" s="60">
        <f>food_insecure</f>
        <v>0.308</v>
      </c>
      <c r="F9" s="60">
        <f>food_insecure</f>
        <v>0.308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161</v>
      </c>
      <c r="C10" s="60">
        <v>0</v>
      </c>
      <c r="D10" s="60">
        <f>IF(ISBLANK(comm_deliv), frac_children_health_facility,1)</f>
        <v>0.72</v>
      </c>
      <c r="E10" s="60">
        <f>IF(ISBLANK(comm_deliv), frac_children_health_facility,1)</f>
        <v>0.72</v>
      </c>
      <c r="F10" s="60">
        <f>IF(ISBLANK(comm_deliv), frac_children_health_facility,1)</f>
        <v>0.72</v>
      </c>
      <c r="G10" s="60">
        <f>IF(ISBLANK(comm_deliv), frac_children_health_facility,1)</f>
        <v>0.72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199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0.308</v>
      </c>
      <c r="I15" s="60">
        <f>food_insecure</f>
        <v>0.308</v>
      </c>
      <c r="J15" s="60">
        <f>food_insecure</f>
        <v>0.308</v>
      </c>
      <c r="K15" s="60">
        <f>food_insecure</f>
        <v>0.308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0.73</v>
      </c>
      <c r="I18" s="60">
        <f>frac_PW_health_facility</f>
        <v>0.73</v>
      </c>
      <c r="J18" s="60">
        <f>frac_PW_health_facility</f>
        <v>0.73</v>
      </c>
      <c r="K18" s="60">
        <f>frac_PW_health_facility</f>
        <v>0.73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0.14000000000000001</v>
      </c>
      <c r="I19" s="60">
        <f>frac_malaria_risk</f>
        <v>0.14000000000000001</v>
      </c>
      <c r="J19" s="60">
        <f>frac_malaria_risk</f>
        <v>0.14000000000000001</v>
      </c>
      <c r="K19" s="60">
        <f>frac_malaria_risk</f>
        <v>0.14000000000000001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0.10299999999999999</v>
      </c>
      <c r="M24" s="60">
        <f>famplan_unmet_need</f>
        <v>0.10299999999999999</v>
      </c>
      <c r="N24" s="60">
        <f>famplan_unmet_need</f>
        <v>0.10299999999999999</v>
      </c>
      <c r="O24" s="60">
        <f>famplan_unmet_need</f>
        <v>0.10299999999999999</v>
      </c>
    </row>
    <row r="25" spans="1:15" ht="15.75" customHeight="1" x14ac:dyDescent="0.2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0.103122228164928</v>
      </c>
      <c r="M25" s="60">
        <f>(1-food_insecure)*(0.49)+food_insecure*(0.7)</f>
        <v>0.55467999999999995</v>
      </c>
      <c r="N25" s="60">
        <f>(1-food_insecure)*(0.49)+food_insecure*(0.7)</f>
        <v>0.55467999999999995</v>
      </c>
      <c r="O25" s="60">
        <f>(1-food_insecure)*(0.49)+food_insecure*(0.7)</f>
        <v>0.55467999999999995</v>
      </c>
    </row>
    <row r="26" spans="1:15" ht="15.75" customHeight="1" x14ac:dyDescent="0.2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4.4195240642111999E-2</v>
      </c>
      <c r="M26" s="60">
        <f>(1-food_insecure)*(0.21)+food_insecure*(0.3)</f>
        <v>0.23771999999999999</v>
      </c>
      <c r="N26" s="60">
        <f>(1-food_insecure)*(0.21)+food_insecure*(0.3)</f>
        <v>0.23771999999999999</v>
      </c>
      <c r="O26" s="60">
        <f>(1-food_insecure)*(0.21)+food_insecure*(0.3)</f>
        <v>0.23771999999999999</v>
      </c>
    </row>
    <row r="27" spans="1:15" ht="15.75" customHeight="1" x14ac:dyDescent="0.2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3.8595540792960001E-2</v>
      </c>
      <c r="M27" s="60">
        <f>(1-food_insecure)*(0.3)</f>
        <v>0.20759999999999998</v>
      </c>
      <c r="N27" s="60">
        <f>(1-food_insecure)*(0.3)</f>
        <v>0.20759999999999998</v>
      </c>
      <c r="O27" s="60">
        <f>(1-food_insecure)*(0.3)</f>
        <v>0.20759999999999998</v>
      </c>
    </row>
    <row r="28" spans="1:15" ht="15.75" customHeight="1" x14ac:dyDescent="0.2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0.81408699039999999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186</v>
      </c>
      <c r="C34" s="60">
        <f t="shared" ref="C34:O34" si="3">frac_malaria_risk</f>
        <v>0.14000000000000001</v>
      </c>
      <c r="D34" s="60">
        <f t="shared" si="3"/>
        <v>0.14000000000000001</v>
      </c>
      <c r="E34" s="60">
        <f t="shared" si="3"/>
        <v>0.14000000000000001</v>
      </c>
      <c r="F34" s="60">
        <f t="shared" si="3"/>
        <v>0.14000000000000001</v>
      </c>
      <c r="G34" s="60">
        <f t="shared" si="3"/>
        <v>0.14000000000000001</v>
      </c>
      <c r="H34" s="60">
        <f t="shared" si="3"/>
        <v>0.14000000000000001</v>
      </c>
      <c r="I34" s="60">
        <f t="shared" si="3"/>
        <v>0.14000000000000001</v>
      </c>
      <c r="J34" s="60">
        <f t="shared" si="3"/>
        <v>0.14000000000000001</v>
      </c>
      <c r="K34" s="60">
        <f t="shared" si="3"/>
        <v>0.14000000000000001</v>
      </c>
      <c r="L34" s="60">
        <f t="shared" si="3"/>
        <v>0.14000000000000001</v>
      </c>
      <c r="M34" s="60">
        <f t="shared" si="3"/>
        <v>0.14000000000000001</v>
      </c>
      <c r="N34" s="60">
        <f t="shared" si="3"/>
        <v>0.14000000000000001</v>
      </c>
      <c r="O34" s="60">
        <f t="shared" si="3"/>
        <v>0.14000000000000001</v>
      </c>
    </row>
    <row r="35" spans="2:15" ht="15.75" customHeight="1" x14ac:dyDescent="0.2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st0IqrhzGbYVBNXpvnZm1wICi7FFQmnnJejm3IP5+kFHirl0CKngbkfK2CbrzM1DNusSi8rq4rlHf6S10U/IXQ==" saltValue="1xQ+eq65fPPVdqPazbUK4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201</v>
      </c>
    </row>
    <row r="2" spans="1:1" x14ac:dyDescent="0.2">
      <c r="A2" s="8" t="s">
        <v>212</v>
      </c>
    </row>
    <row r="3" spans="1:1" x14ac:dyDescent="0.2">
      <c r="A3" s="8" t="s">
        <v>213</v>
      </c>
    </row>
    <row r="4" spans="1:1" x14ac:dyDescent="0.2">
      <c r="A4" s="8" t="s">
        <v>214</v>
      </c>
    </row>
  </sheetData>
  <sheetProtection algorithmName="SHA-512" hashValue="WrlRdZ/Ip8AUCBp8OGPXJgqLblV5VvEshIkTevE8MP3BBDpdpYIyTrZCq6mSqdcWtJ3S+0t1YilaKh6tGKSRTg==" saltValue="6fV+zuGarhSzqYVMzEXsB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3.9" customHeight="1" x14ac:dyDescent="0.2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hGo8CPXYF1PYkFyrflNfTrMDhI7LrThXbz5ziE5Q/Z6AIdswEHYNy7CxA5wtQ+JmhXC2CoZ+Mym2EO+87eq0BA==" saltValue="qiB8EcnkQq9XuUoXavBC0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42U0GsNWQYJ+WdZLgQOWYlNik8+SwkqhS8dxr8xm1rr1BEqeUiuU95jXxofsZQum5Q9GcZmpEvKsChoHHdZHhA==" saltValue="DAs513p0pd8S72FxdfPUX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DmOyztFOA8+jNfSXcNunCwiKK5LcfnqOw7rBBIbK1FNZx5rYss9aW+K/PTj5D5UsQ0PnFdtuvGhXbjajodDBSQ==" saltValue="skJ5gD3klQzva+RX04QIg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JpD3/BzInOiwQLJIAahm+jE2EwoGT8wEMYz0eiptrZanaZzhc5dXlBHfhlCcFUa2ZGClxHRyPf8XntpDObWbrg==" saltValue="do8eDiDc6HOTA+72/sr82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x14ac:dyDescent="0.2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3" t="s">
        <v>109</v>
      </c>
      <c r="C5" s="8" t="s">
        <v>153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4"/>
      <c r="C6" s="8" t="s">
        <v>154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3" t="s">
        <v>96</v>
      </c>
      <c r="C8" s="8" t="s">
        <v>153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4"/>
      <c r="C9" s="8" t="s">
        <v>154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3" t="s">
        <v>97</v>
      </c>
      <c r="C11" s="8" t="s">
        <v>153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4"/>
      <c r="C12" s="8" t="s">
        <v>154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4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3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4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3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4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x14ac:dyDescent="0.2">
      <c r="A55" s="4" t="s">
        <v>236</v>
      </c>
      <c r="B55" s="103" t="s">
        <v>100</v>
      </c>
      <c r="C55" s="8" t="s">
        <v>153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4"/>
      <c r="C56" s="8" t="s">
        <v>154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4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3" t="s">
        <v>109</v>
      </c>
      <c r="C58" s="8" t="s">
        <v>153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4"/>
      <c r="C59" s="8" t="s">
        <v>154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4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3" t="s">
        <v>96</v>
      </c>
      <c r="C61" s="8" t="s">
        <v>153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4"/>
      <c r="C62" s="8" t="s">
        <v>154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4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3" t="s">
        <v>97</v>
      </c>
      <c r="C64" s="8" t="s">
        <v>153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4"/>
      <c r="C65" s="8" t="s">
        <v>154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4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3" t="s">
        <v>98</v>
      </c>
      <c r="C67" s="8" t="s">
        <v>153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4"/>
      <c r="C68" s="8" t="s">
        <v>154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4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156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237</v>
      </c>
      <c r="B72" s="103" t="s">
        <v>100</v>
      </c>
      <c r="C72" s="8" t="s">
        <v>153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4"/>
      <c r="C73" s="8" t="s">
        <v>154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4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3" t="s">
        <v>109</v>
      </c>
      <c r="C75" s="8" t="s">
        <v>153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4"/>
      <c r="C76" s="8" t="s">
        <v>154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4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3" t="s">
        <v>96</v>
      </c>
      <c r="C78" s="8" t="s">
        <v>153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4"/>
      <c r="C79" s="8" t="s">
        <v>154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4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3" t="s">
        <v>97</v>
      </c>
      <c r="C81" s="8" t="s">
        <v>153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4"/>
      <c r="C82" s="8" t="s">
        <v>154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4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3" t="s">
        <v>98</v>
      </c>
      <c r="C84" s="8" t="s">
        <v>153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4"/>
      <c r="C85" s="8" t="s">
        <v>154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4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156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238</v>
      </c>
      <c r="B89" s="103" t="s">
        <v>100</v>
      </c>
      <c r="C89" s="8" t="s">
        <v>153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4"/>
      <c r="C90" s="8" t="s">
        <v>154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4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3" t="s">
        <v>109</v>
      </c>
      <c r="C92" s="8" t="s">
        <v>153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4"/>
      <c r="C93" s="8" t="s">
        <v>154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4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3" t="s">
        <v>96</v>
      </c>
      <c r="C95" s="8" t="s">
        <v>153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4"/>
      <c r="C96" s="8" t="s">
        <v>154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4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3" t="s">
        <v>97</v>
      </c>
      <c r="C98" s="8" t="s">
        <v>153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4"/>
      <c r="C99" s="8" t="s">
        <v>154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4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3" t="s">
        <v>98</v>
      </c>
      <c r="C101" s="8" t="s">
        <v>153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4"/>
      <c r="C102" s="8" t="s">
        <v>154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4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156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x14ac:dyDescent="0.2">
      <c r="A108" s="4" t="s">
        <v>240</v>
      </c>
      <c r="B108" s="103" t="s">
        <v>100</v>
      </c>
      <c r="C108" s="8" t="s">
        <v>153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4"/>
      <c r="C109" s="8" t="s">
        <v>154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4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3" t="s">
        <v>109</v>
      </c>
      <c r="C111" s="8" t="s">
        <v>153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4"/>
      <c r="C112" s="8" t="s">
        <v>154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4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3" t="s">
        <v>96</v>
      </c>
      <c r="C114" s="8" t="s">
        <v>153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4"/>
      <c r="C115" s="8" t="s">
        <v>154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4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3" t="s">
        <v>97</v>
      </c>
      <c r="C117" s="8" t="s">
        <v>153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4"/>
      <c r="C118" s="8" t="s">
        <v>154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4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3" t="s">
        <v>98</v>
      </c>
      <c r="C120" s="8" t="s">
        <v>153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4"/>
      <c r="C121" s="8" t="s">
        <v>154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4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156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241</v>
      </c>
      <c r="B125" s="103" t="s">
        <v>100</v>
      </c>
      <c r="C125" s="8" t="s">
        <v>153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4"/>
      <c r="C126" s="8" t="s">
        <v>154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4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3" t="s">
        <v>109</v>
      </c>
      <c r="C128" s="8" t="s">
        <v>153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4"/>
      <c r="C129" s="8" t="s">
        <v>154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4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3" t="s">
        <v>96</v>
      </c>
      <c r="C131" s="8" t="s">
        <v>153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4"/>
      <c r="C132" s="8" t="s">
        <v>154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4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3" t="s">
        <v>97</v>
      </c>
      <c r="C134" s="8" t="s">
        <v>153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4"/>
      <c r="C135" s="8" t="s">
        <v>154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4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3" t="s">
        <v>98</v>
      </c>
      <c r="C137" s="8" t="s">
        <v>153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4"/>
      <c r="C138" s="8" t="s">
        <v>154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4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156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242</v>
      </c>
      <c r="B142" s="103" t="s">
        <v>100</v>
      </c>
      <c r="C142" s="8" t="s">
        <v>153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4"/>
      <c r="C143" s="8" t="s">
        <v>154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4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3" t="s">
        <v>109</v>
      </c>
      <c r="C145" s="8" t="s">
        <v>153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4"/>
      <c r="C146" s="8" t="s">
        <v>154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4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3" t="s">
        <v>96</v>
      </c>
      <c r="C148" s="8" t="s">
        <v>153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4"/>
      <c r="C149" s="8" t="s">
        <v>154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4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3" t="s">
        <v>97</v>
      </c>
      <c r="C151" s="8" t="s">
        <v>153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4"/>
      <c r="C152" s="8" t="s">
        <v>154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4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3" t="s">
        <v>98</v>
      </c>
      <c r="C154" s="8" t="s">
        <v>153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4"/>
      <c r="C155" s="8" t="s">
        <v>154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4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156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IdL4OankURd1cpeyOnqhFRcSld8HXiWEOF48jWZ55xt9+zVOHL9B4tblqi30IaNCxEYTq7nq7yjxEm5dPB3Y2w==" saltValue="afCqPfgXLwN0du5Av7ZcGw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243</v>
      </c>
    </row>
    <row r="2" spans="1:6" ht="15.75" customHeight="1" x14ac:dyDescent="0.2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2">
      <c r="A3" s="4" t="s">
        <v>244</v>
      </c>
      <c r="B3" s="14"/>
      <c r="C3" s="71"/>
      <c r="D3" s="72"/>
      <c r="E3" s="72"/>
      <c r="F3" s="72"/>
    </row>
    <row r="4" spans="1:6" ht="15.75" customHeight="1" x14ac:dyDescent="0.2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245</v>
      </c>
      <c r="C11" s="74"/>
      <c r="D11" s="75"/>
      <c r="E11" s="75"/>
      <c r="F11" s="75"/>
    </row>
    <row r="12" spans="1:6" ht="15.75" customHeight="1" x14ac:dyDescent="0.2">
      <c r="A12" s="4" t="s">
        <v>246</v>
      </c>
      <c r="C12" s="73"/>
      <c r="D12" s="64"/>
      <c r="E12" s="64"/>
      <c r="F12" s="64"/>
    </row>
    <row r="13" spans="1:6" ht="15.75" customHeight="1" x14ac:dyDescent="0.2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79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80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81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243</v>
      </c>
    </row>
    <row r="29" spans="1:6" ht="15.75" customHeight="1" x14ac:dyDescent="0.2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2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">
      <c r="B31" s="5" t="s">
        <v>37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38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39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40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262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2">
      <c r="A39" s="4" t="s">
        <v>251</v>
      </c>
      <c r="C39" s="73"/>
      <c r="D39" s="64"/>
      <c r="E39" s="64"/>
      <c r="F39" s="64"/>
    </row>
    <row r="40" spans="1:6" ht="15.75" customHeight="1" x14ac:dyDescent="0.2">
      <c r="B40" s="11" t="s">
        <v>256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257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258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">
      <c r="B45" s="5" t="s">
        <v>78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79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80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81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82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83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84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85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243</v>
      </c>
    </row>
    <row r="56" spans="1:6" ht="15.75" customHeight="1" x14ac:dyDescent="0.2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2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">
      <c r="B58" s="5" t="s">
        <v>37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38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39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40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263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2">
      <c r="A66" s="4" t="s">
        <v>254</v>
      </c>
      <c r="C66" s="73"/>
      <c r="D66" s="64"/>
      <c r="E66" s="64"/>
      <c r="F66" s="64"/>
    </row>
    <row r="67" spans="1:6" ht="15.75" customHeight="1" x14ac:dyDescent="0.2">
      <c r="B67" s="11" t="s">
        <v>259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260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261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">
      <c r="B72" s="5" t="s">
        <v>78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79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80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81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82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83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84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85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Ee7fspriDMkuQDl9184ziPrnnpfZp6r8rK4r6vJGfWyPJELuvIPY3JOVkRrnh6GrghKpuX5sWDxDH8sThxOQ7g==" saltValue="S7tgXi6ZfmTRrhP/GfOPA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264</v>
      </c>
    </row>
    <row r="2" spans="1:16" x14ac:dyDescent="0.2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278</v>
      </c>
    </row>
    <row r="29" spans="1:16" x14ac:dyDescent="0.2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271</v>
      </c>
    </row>
    <row r="56" spans="1:16" ht="26.45" customHeight="1" x14ac:dyDescent="0.2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x14ac:dyDescent="0.2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275</v>
      </c>
    </row>
    <row r="65" spans="1:16" ht="26.45" customHeight="1" x14ac:dyDescent="0.2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78</v>
      </c>
      <c r="C66" s="3" t="s">
        <v>129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79</v>
      </c>
      <c r="C70" s="3" t="s">
        <v>129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80</v>
      </c>
      <c r="C74" s="3" t="s">
        <v>129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277</v>
      </c>
    </row>
    <row r="104" spans="1:16" ht="26.45" customHeight="1" x14ac:dyDescent="0.2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x14ac:dyDescent="0.2">
      <c r="A113" s="4"/>
      <c r="B113" s="8" t="s">
        <v>87</v>
      </c>
      <c r="C113" s="3" t="s">
        <v>10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267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268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269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88</v>
      </c>
      <c r="C117" s="3" t="s">
        <v>10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267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268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269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10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267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268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269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91</v>
      </c>
      <c r="C125" s="3" t="s">
        <v>10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267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268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269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89</v>
      </c>
      <c r="C129" s="3" t="s">
        <v>10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267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268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269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95</v>
      </c>
      <c r="C133" s="3" t="s">
        <v>10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267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268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269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x14ac:dyDescent="0.2">
      <c r="A140" s="4"/>
      <c r="B140" s="8" t="s">
        <v>87</v>
      </c>
      <c r="C140" s="3" t="s">
        <v>10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267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209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208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88</v>
      </c>
      <c r="C144" s="3" t="s">
        <v>10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267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209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208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10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267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209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208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91</v>
      </c>
      <c r="C152" s="3" t="s">
        <v>10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267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209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208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89</v>
      </c>
      <c r="C156" s="3" t="s">
        <v>10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267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209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208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95</v>
      </c>
      <c r="C160" s="3" t="s">
        <v>10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267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209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208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x14ac:dyDescent="0.2">
      <c r="A167" s="4"/>
      <c r="B167" s="8" t="s">
        <v>101</v>
      </c>
      <c r="C167" s="3" t="s">
        <v>273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274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102</v>
      </c>
      <c r="C169" s="3" t="s">
        <v>273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274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273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274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x14ac:dyDescent="0.2">
      <c r="A176" s="82"/>
      <c r="B176" s="8" t="s">
        <v>78</v>
      </c>
      <c r="C176" s="3" t="s">
        <v>129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130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131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132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79</v>
      </c>
      <c r="C180" s="3" t="s">
        <v>129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130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131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132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80</v>
      </c>
      <c r="C184" s="3" t="s">
        <v>129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130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131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132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82</v>
      </c>
      <c r="C188" s="3" t="s">
        <v>129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130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131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132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87</v>
      </c>
      <c r="C192" s="3" t="s">
        <v>129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130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131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132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88</v>
      </c>
      <c r="C196" s="3" t="s">
        <v>129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130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131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132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130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131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132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89</v>
      </c>
      <c r="C204" s="3" t="s">
        <v>129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130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131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132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92</v>
      </c>
      <c r="C208" s="3" t="s">
        <v>129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130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131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132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x14ac:dyDescent="0.2">
      <c r="A215" s="4"/>
      <c r="C215" s="3" t="s">
        <v>129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130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131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132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239</v>
      </c>
      <c r="H220" s="92"/>
    </row>
    <row r="221" spans="1:9" x14ac:dyDescent="0.2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x14ac:dyDescent="0.2">
      <c r="A223" s="4"/>
      <c r="B223" s="8" t="s">
        <v>87</v>
      </c>
      <c r="C223" s="3" t="s">
        <v>10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267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268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269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88</v>
      </c>
      <c r="C227" s="3" t="s">
        <v>10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267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268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269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10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267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268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269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91</v>
      </c>
      <c r="C235" s="3" t="s">
        <v>10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267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268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269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89</v>
      </c>
      <c r="C239" s="3" t="s">
        <v>10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267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268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269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95</v>
      </c>
      <c r="C243" s="3" t="s">
        <v>10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267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268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269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x14ac:dyDescent="0.2">
      <c r="A250" s="4"/>
      <c r="B250" s="8" t="s">
        <v>87</v>
      </c>
      <c r="C250" s="3" t="s">
        <v>10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267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209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208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88</v>
      </c>
      <c r="C254" s="3" t="s">
        <v>10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267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209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208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10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267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209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208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91</v>
      </c>
      <c r="C262" s="3" t="s">
        <v>10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267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209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208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89</v>
      </c>
      <c r="C266" s="3" t="s">
        <v>10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267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209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208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95</v>
      </c>
      <c r="C270" s="3" t="s">
        <v>10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267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209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208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x14ac:dyDescent="0.2">
      <c r="A277" s="4"/>
      <c r="B277" s="8" t="s">
        <v>101</v>
      </c>
      <c r="C277" s="3" t="s">
        <v>273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274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102</v>
      </c>
      <c r="C279" s="3" t="s">
        <v>273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274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273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274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x14ac:dyDescent="0.2">
      <c r="A286" s="82"/>
      <c r="B286" s="8" t="s">
        <v>78</v>
      </c>
      <c r="C286" s="3" t="s">
        <v>129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130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131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132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79</v>
      </c>
      <c r="C290" s="3" t="s">
        <v>129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130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131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132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80</v>
      </c>
      <c r="C294" s="3" t="s">
        <v>129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130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131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132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82</v>
      </c>
      <c r="C298" s="3" t="s">
        <v>129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130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131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132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87</v>
      </c>
      <c r="C302" s="3" t="s">
        <v>129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130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131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132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88</v>
      </c>
      <c r="C306" s="3" t="s">
        <v>129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130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131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132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130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131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132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89</v>
      </c>
      <c r="C314" s="3" t="s">
        <v>129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130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131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132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92</v>
      </c>
      <c r="C318" s="3" t="s">
        <v>129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130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131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132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x14ac:dyDescent="0.2">
      <c r="A325" s="4"/>
      <c r="C325" s="3" t="s">
        <v>129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130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131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132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nBIubzof9AlfIgCpDywDpHuM21MIMY6uy7bKApdW/zjGrS4yX3/odb24HuDeJz78lt3U1MNU2FT9flej8diz5Q==" saltValue="xPOnwjRx1AiR8dj6kj+MW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233</v>
      </c>
    </row>
    <row r="2" spans="1:7" ht="14.25" customHeight="1" x14ac:dyDescent="0.2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282</v>
      </c>
    </row>
    <row r="6" spans="1:7" ht="14.25" customHeight="1" x14ac:dyDescent="0.2">
      <c r="B6" s="5" t="s">
        <v>192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185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205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286</v>
      </c>
    </row>
    <row r="12" spans="1:7" ht="14.25" customHeight="1" x14ac:dyDescent="0.2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283</v>
      </c>
    </row>
    <row r="15" spans="1:7" ht="14.25" customHeight="1" x14ac:dyDescent="0.2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288</v>
      </c>
    </row>
    <row r="20" spans="1:7" s="14" customFormat="1" ht="14.25" customHeight="1" x14ac:dyDescent="0.2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233</v>
      </c>
      <c r="B24" s="68"/>
      <c r="C24" s="68"/>
      <c r="D24" s="68"/>
      <c r="E24" s="68"/>
      <c r="F24" s="68"/>
      <c r="G24" s="68"/>
    </row>
    <row r="25" spans="1:7" x14ac:dyDescent="0.2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">
      <c r="B26" s="11" t="s">
        <v>289</v>
      </c>
      <c r="C26" s="90" t="s">
        <v>11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290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291</v>
      </c>
    </row>
    <row r="29" spans="1:7" x14ac:dyDescent="0.2">
      <c r="B29" s="5" t="s">
        <v>292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293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315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294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295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283</v>
      </c>
      <c r="B37" s="68"/>
      <c r="C37" s="68"/>
      <c r="D37" s="68"/>
      <c r="E37" s="68"/>
      <c r="F37" s="68"/>
      <c r="G37" s="68"/>
    </row>
    <row r="38" spans="1:7" x14ac:dyDescent="0.2">
      <c r="A38" s="82" t="s">
        <v>279</v>
      </c>
      <c r="B38" s="5" t="s">
        <v>297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298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121</v>
      </c>
      <c r="B40" s="11" t="s">
        <v>299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300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">
      <c r="B44" s="11" t="s">
        <v>301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239</v>
      </c>
    </row>
    <row r="47" spans="1:7" x14ac:dyDescent="0.2">
      <c r="A47" s="67" t="s">
        <v>233</v>
      </c>
      <c r="B47" s="68"/>
      <c r="C47" s="68"/>
      <c r="D47" s="68"/>
      <c r="E47" s="68"/>
      <c r="F47" s="68"/>
      <c r="G47" s="68"/>
    </row>
    <row r="48" spans="1:7" x14ac:dyDescent="0.2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">
      <c r="B49" s="11" t="s">
        <v>302</v>
      </c>
      <c r="C49" s="90" t="s">
        <v>11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303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304</v>
      </c>
    </row>
    <row r="52" spans="1:7" x14ac:dyDescent="0.2">
      <c r="B52" s="5" t="s">
        <v>305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316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307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308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283</v>
      </c>
      <c r="B60" s="68"/>
      <c r="C60" s="68"/>
      <c r="D60" s="68"/>
      <c r="E60" s="68"/>
      <c r="F60" s="68"/>
      <c r="G60" s="68"/>
    </row>
    <row r="61" spans="1:7" x14ac:dyDescent="0.2">
      <c r="A61" s="82" t="s">
        <v>279</v>
      </c>
      <c r="B61" s="5" t="s">
        <v>310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311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121</v>
      </c>
      <c r="B63" s="11" t="s">
        <v>312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313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">
      <c r="B67" s="11" t="s">
        <v>314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aAW7KAcM+4ctpj5Na2n7utj06cToG/InHCf2W1eQZu+egDDfFyaO9sle7UpjL8rvqImmjLlTZkgZhe9RndOA1g==" saltValue="qR2wxd3F6AHyxxzywAKTT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">
      <c r="A2" s="5" t="s">
        <v>168</v>
      </c>
      <c r="B2" s="5" t="s">
        <v>317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180</v>
      </c>
      <c r="B4" s="5" t="s">
        <v>317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181</v>
      </c>
      <c r="B6" s="5" t="s">
        <v>317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190</v>
      </c>
      <c r="B12" s="5" t="s">
        <v>317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">
      <c r="A17" s="5" t="s">
        <v>168</v>
      </c>
      <c r="B17" s="5" t="s">
        <v>317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318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180</v>
      </c>
      <c r="B19" s="5" t="s">
        <v>317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318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181</v>
      </c>
      <c r="B21" s="5" t="s">
        <v>317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318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182</v>
      </c>
      <c r="B23" s="5" t="s">
        <v>317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318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186</v>
      </c>
      <c r="B25" s="5" t="s">
        <v>317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318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190</v>
      </c>
      <c r="B27" s="5" t="s">
        <v>317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318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239</v>
      </c>
    </row>
    <row r="31" spans="1:6" ht="15.75" customHeight="1" x14ac:dyDescent="0.2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">
      <c r="A32" s="5" t="s">
        <v>168</v>
      </c>
      <c r="B32" s="5" t="s">
        <v>317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318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180</v>
      </c>
      <c r="B34" s="5" t="s">
        <v>317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318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181</v>
      </c>
      <c r="B36" s="5" t="s">
        <v>317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318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182</v>
      </c>
      <c r="B38" s="5" t="s">
        <v>317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318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186</v>
      </c>
      <c r="B40" s="5" t="s">
        <v>317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318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190</v>
      </c>
      <c r="B42" s="5" t="s">
        <v>317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318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fqMsGvtqr1/1wPyfCa6Y2yBsAwo5IRsV/2zCXVMTZJIzNL+C68hAl63nQqQvK14Wk6vz4qt+NhEE7VYYXkiGqA==" saltValue="zwxkRngVi3Fm6Mn7sONuI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x14ac:dyDescent="0.2">
      <c r="A2" s="4" t="s">
        <v>319</v>
      </c>
    </row>
    <row r="3" spans="1:15" x14ac:dyDescent="0.2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205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320</v>
      </c>
      <c r="B17" s="11"/>
    </row>
    <row r="18" spans="1:15" x14ac:dyDescent="0.2">
      <c r="B18" s="5" t="s">
        <v>173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174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175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183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x14ac:dyDescent="0.2">
      <c r="A25" s="4" t="s">
        <v>321</v>
      </c>
    </row>
    <row r="26" spans="1:15" x14ac:dyDescent="0.2">
      <c r="B26" s="11" t="s">
        <v>171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176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177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178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179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180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181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182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185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186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189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190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205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323</v>
      </c>
      <c r="B40" s="11"/>
    </row>
    <row r="41" spans="1:15" x14ac:dyDescent="0.2">
      <c r="B41" s="5" t="s">
        <v>173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174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175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183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239</v>
      </c>
    </row>
    <row r="47" spans="1:15" ht="26.45" customHeight="1" x14ac:dyDescent="0.2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x14ac:dyDescent="0.2">
      <c r="A48" s="4" t="s">
        <v>322</v>
      </c>
    </row>
    <row r="49" spans="1:15" x14ac:dyDescent="0.2">
      <c r="B49" s="11" t="s">
        <v>171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176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177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178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179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180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181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182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185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186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189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190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205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324</v>
      </c>
      <c r="B63" s="11"/>
    </row>
    <row r="64" spans="1:15" x14ac:dyDescent="0.2">
      <c r="B64" s="5" t="s">
        <v>173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174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175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183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U7w2TMS+p0Ou8qtgZmiMLM2yAfad4pDFov0Nn6ydwYDZx8Bm1L8qaCqC272BeHGp9YfVFQunNJFWXCY/ykApQg==" saltValue="5WP7sstGgGZjVutzieWRt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x14ac:dyDescent="0.2">
      <c r="A2" s="4" t="s">
        <v>325</v>
      </c>
    </row>
    <row r="3" spans="1:7" x14ac:dyDescent="0.2">
      <c r="B3" s="11" t="s">
        <v>161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326</v>
      </c>
      <c r="B4" s="11"/>
      <c r="C4" s="83"/>
      <c r="D4" s="83"/>
      <c r="E4" s="83"/>
      <c r="F4" s="83"/>
      <c r="G4" s="83"/>
    </row>
    <row r="5" spans="1:7" x14ac:dyDescent="0.2">
      <c r="B5" s="5" t="s">
        <v>165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331</v>
      </c>
    </row>
    <row r="8" spans="1:7" x14ac:dyDescent="0.2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x14ac:dyDescent="0.2">
      <c r="A9" s="4" t="s">
        <v>327</v>
      </c>
    </row>
    <row r="10" spans="1:7" x14ac:dyDescent="0.2">
      <c r="B10" s="11" t="s">
        <v>161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328</v>
      </c>
      <c r="B11" s="11"/>
      <c r="C11" s="83"/>
      <c r="D11" s="83"/>
      <c r="E11" s="83"/>
      <c r="F11" s="83"/>
      <c r="G11" s="83"/>
    </row>
    <row r="12" spans="1:7" x14ac:dyDescent="0.2">
      <c r="B12" s="5" t="s">
        <v>165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332</v>
      </c>
    </row>
    <row r="15" spans="1:7" x14ac:dyDescent="0.2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x14ac:dyDescent="0.2">
      <c r="A16" s="4" t="s">
        <v>329</v>
      </c>
    </row>
    <row r="17" spans="1:7" x14ac:dyDescent="0.2">
      <c r="B17" s="11" t="s">
        <v>161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330</v>
      </c>
      <c r="B18" s="11"/>
      <c r="C18" s="83"/>
      <c r="D18" s="83"/>
      <c r="E18" s="83"/>
      <c r="F18" s="83"/>
      <c r="G18" s="83"/>
    </row>
    <row r="19" spans="1:7" x14ac:dyDescent="0.2">
      <c r="B19" s="5" t="s">
        <v>165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DvZD746CiNZw7UM29HsmKORZ+iJeNw20ycyie2/vbAvlvgtHcfNOm53JNnSYp0H++C7vVznFeXb52itGi68B7g==" saltValue="uIHqCdLI2Oidgy9cUPpIL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335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336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336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209</v>
      </c>
      <c r="C7" s="5" t="s">
        <v>334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336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336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209</v>
      </c>
      <c r="C11" s="5" t="s">
        <v>334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336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336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209</v>
      </c>
      <c r="C15" s="5" t="s">
        <v>334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336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336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209</v>
      </c>
      <c r="C19" s="5" t="s">
        <v>334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336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175</v>
      </c>
      <c r="B21" s="5" t="s">
        <v>84</v>
      </c>
      <c r="C21" s="5" t="s">
        <v>334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335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173</v>
      </c>
      <c r="B23" s="5" t="s">
        <v>84</v>
      </c>
      <c r="C23" s="5" t="s">
        <v>334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335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174</v>
      </c>
      <c r="B25" s="5" t="s">
        <v>84</v>
      </c>
      <c r="C25" s="5" t="s">
        <v>334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335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200</v>
      </c>
      <c r="B42" s="5" t="s">
        <v>87</v>
      </c>
      <c r="C42" s="5" t="s">
        <v>334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335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336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335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336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199</v>
      </c>
      <c r="B50" s="5" t="s">
        <v>87</v>
      </c>
      <c r="C50" s="5" t="s">
        <v>334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335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331</v>
      </c>
      <c r="B55" s="97"/>
      <c r="C55" s="97"/>
    </row>
    <row r="56" spans="1:8" x14ac:dyDescent="0.2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">
      <c r="A57" s="5" t="s">
        <v>193</v>
      </c>
      <c r="B57" s="5" t="s">
        <v>87</v>
      </c>
      <c r="C57" s="5" t="s">
        <v>334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335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336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336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205</v>
      </c>
      <c r="B68" s="5" t="s">
        <v>208</v>
      </c>
      <c r="C68" s="5" t="s">
        <v>334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336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209</v>
      </c>
      <c r="C70" s="5" t="s">
        <v>334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336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170</v>
      </c>
      <c r="B72" s="5" t="s">
        <v>208</v>
      </c>
      <c r="C72" s="5" t="s">
        <v>334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336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209</v>
      </c>
      <c r="C74" s="5" t="s">
        <v>334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336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175</v>
      </c>
      <c r="B76" s="5" t="s">
        <v>84</v>
      </c>
      <c r="C76" s="5" t="s">
        <v>334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335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173</v>
      </c>
      <c r="B78" s="5" t="s">
        <v>84</v>
      </c>
      <c r="C78" s="5" t="s">
        <v>334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335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174</v>
      </c>
      <c r="B80" s="5" t="s">
        <v>84</v>
      </c>
      <c r="C80" s="5" t="s">
        <v>334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335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197</v>
      </c>
      <c r="B82" s="5" t="s">
        <v>87</v>
      </c>
      <c r="C82" s="5" t="s">
        <v>334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335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336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198</v>
      </c>
      <c r="B85" s="5" t="s">
        <v>87</v>
      </c>
      <c r="C85" s="5" t="s">
        <v>334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335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336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196</v>
      </c>
      <c r="B88" s="5" t="s">
        <v>87</v>
      </c>
      <c r="C88" s="5" t="s">
        <v>334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335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336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195</v>
      </c>
      <c r="B91" s="5" t="s">
        <v>87</v>
      </c>
      <c r="C91" s="5" t="s">
        <v>334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335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336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194</v>
      </c>
      <c r="B94" s="5" t="s">
        <v>87</v>
      </c>
      <c r="C94" s="5" t="s">
        <v>334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335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336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200</v>
      </c>
      <c r="B97" s="5" t="s">
        <v>87</v>
      </c>
      <c r="C97" s="5" t="s">
        <v>334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335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336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88</v>
      </c>
      <c r="C100" s="5" t="s">
        <v>334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335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336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191</v>
      </c>
      <c r="B103" s="5" t="s">
        <v>87</v>
      </c>
      <c r="C103" s="5" t="s">
        <v>334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335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199</v>
      </c>
      <c r="B105" s="5" t="s">
        <v>87</v>
      </c>
      <c r="C105" s="5" t="s">
        <v>334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335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184</v>
      </c>
      <c r="B107" s="5" t="s">
        <v>82</v>
      </c>
      <c r="C107" s="5" t="s">
        <v>334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335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332</v>
      </c>
      <c r="B110" s="97"/>
      <c r="C110" s="97"/>
    </row>
    <row r="111" spans="1:8" x14ac:dyDescent="0.2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">
      <c r="A112" s="5" t="s">
        <v>193</v>
      </c>
      <c r="B112" s="5" t="s">
        <v>87</v>
      </c>
      <c r="C112" s="5" t="s">
        <v>334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335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336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192</v>
      </c>
      <c r="B115" s="5" t="s">
        <v>208</v>
      </c>
      <c r="C115" s="5" t="s">
        <v>334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336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209</v>
      </c>
      <c r="C117" s="5" t="s">
        <v>334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336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185</v>
      </c>
      <c r="B119" s="5" t="s">
        <v>208</v>
      </c>
      <c r="C119" s="5" t="s">
        <v>334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336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209</v>
      </c>
      <c r="C121" s="5" t="s">
        <v>334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336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336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336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175</v>
      </c>
      <c r="B131" s="5" t="s">
        <v>84</v>
      </c>
      <c r="C131" s="5" t="s">
        <v>334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335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173</v>
      </c>
      <c r="B133" s="5" t="s">
        <v>84</v>
      </c>
      <c r="C133" s="5" t="s">
        <v>334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335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174</v>
      </c>
      <c r="B135" s="5" t="s">
        <v>84</v>
      </c>
      <c r="C135" s="5" t="s">
        <v>334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335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197</v>
      </c>
      <c r="B137" s="5" t="s">
        <v>87</v>
      </c>
      <c r="C137" s="5" t="s">
        <v>334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335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336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198</v>
      </c>
      <c r="B140" s="5" t="s">
        <v>87</v>
      </c>
      <c r="C140" s="5" t="s">
        <v>334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335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336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196</v>
      </c>
      <c r="B143" s="5" t="s">
        <v>87</v>
      </c>
      <c r="C143" s="5" t="s">
        <v>334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335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336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195</v>
      </c>
      <c r="B146" s="5" t="s">
        <v>87</v>
      </c>
      <c r="C146" s="5" t="s">
        <v>334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335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336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194</v>
      </c>
      <c r="B149" s="5" t="s">
        <v>87</v>
      </c>
      <c r="C149" s="5" t="s">
        <v>334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335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336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200</v>
      </c>
      <c r="B152" s="5" t="s">
        <v>87</v>
      </c>
      <c r="C152" s="5" t="s">
        <v>334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335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336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88</v>
      </c>
      <c r="C155" s="5" t="s">
        <v>334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335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336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191</v>
      </c>
      <c r="B158" s="5" t="s">
        <v>87</v>
      </c>
      <c r="C158" s="5" t="s">
        <v>334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335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199</v>
      </c>
      <c r="B160" s="5" t="s">
        <v>87</v>
      </c>
      <c r="C160" s="5" t="s">
        <v>334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335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184</v>
      </c>
      <c r="B162" s="5" t="s">
        <v>82</v>
      </c>
      <c r="C162" s="5" t="s">
        <v>334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335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1Av9VBYqkVOYejdJf7OI7sJH84Azq5321cujFQ7be6mHHMiPKQtp6xFRFCisvDcjQCJo7wnWZ7D8L+Su6/GX0w==" saltValue="opZiGqXPP6E+a7+EG0u0n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335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331</v>
      </c>
    </row>
    <row r="10" spans="1:8" x14ac:dyDescent="0.2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">
      <c r="A11" s="3" t="s">
        <v>169</v>
      </c>
      <c r="B11" s="8" t="s">
        <v>104</v>
      </c>
      <c r="C11" s="3" t="s">
        <v>334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335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188</v>
      </c>
      <c r="B13" s="8" t="s">
        <v>104</v>
      </c>
      <c r="C13" s="3" t="s">
        <v>334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187</v>
      </c>
      <c r="B15" s="8" t="s">
        <v>104</v>
      </c>
      <c r="C15" s="3" t="s">
        <v>334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332</v>
      </c>
    </row>
    <row r="19" spans="1:7" x14ac:dyDescent="0.2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">
      <c r="A20" s="3" t="s">
        <v>169</v>
      </c>
      <c r="B20" s="8" t="s">
        <v>104</v>
      </c>
      <c r="C20" s="3" t="s">
        <v>334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335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188</v>
      </c>
      <c r="B22" s="8" t="s">
        <v>104</v>
      </c>
      <c r="C22" s="3" t="s">
        <v>334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187</v>
      </c>
      <c r="B24" s="8" t="s">
        <v>104</v>
      </c>
      <c r="C24" s="3" t="s">
        <v>334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atGEGrZnj5bpVj2mMhUDM2hukalOuzf3eiCvblu2kpeFmsN3mYZ9TWWQftjABAPPQXacl2tRRBGUPbRU3JKEdg==" saltValue="6aE6bUDh5mmjEra2TJ6Jf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2017-08-01T10:42:13Z</dcterms:created>
  <dcterms:modified xsi:type="dcterms:W3CDTF">2023-01-27T03:15:53Z</dcterms:modified>
</cp:coreProperties>
</file>