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F80EFC6F-8885-4016-B760-C7DE57BA559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A39" i="2"/>
  <c r="H38" i="2"/>
  <c r="G38" i="2"/>
  <c r="A27" i="2"/>
  <c r="A24" i="2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16" i="2" l="1"/>
  <c r="A18" i="2"/>
  <c r="A19" i="2"/>
  <c r="I6" i="2"/>
  <c r="A26" i="2"/>
  <c r="A32" i="2"/>
  <c r="A34" i="2"/>
  <c r="I8" i="2"/>
  <c r="A35" i="2"/>
  <c r="I38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20" i="2"/>
  <c r="A28" i="2"/>
  <c r="A36" i="2"/>
  <c r="D58" i="20"/>
  <c r="A37" i="2"/>
  <c r="A14" i="2"/>
  <c r="A22" i="2"/>
  <c r="A30" i="2"/>
  <c r="A38" i="2"/>
  <c r="A40" i="2"/>
  <c r="A12" i="2"/>
  <c r="A13" i="2"/>
  <c r="A21" i="2"/>
  <c r="A29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<sst xmlns="http://schemas.openxmlformats.org/spreadsheetml/2006/main" count="2092" uniqueCount="337">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</sst>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441621.609375</v>
      </c>
    </row>
    <row r="8" spans="1:3" ht="15" customHeight="1" x14ac:dyDescent="0.2">
      <c r="B8" s="5" t="s">
        <v>19</v>
      </c>
      <c r="C8" s="44">
        <v>1.4999999999999999E-2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0.64993591308593812</v>
      </c>
    </row>
    <row r="11" spans="1:3" ht="15" customHeight="1" x14ac:dyDescent="0.2">
      <c r="B11" s="5" t="s">
        <v>22</v>
      </c>
      <c r="C11" s="45">
        <v>0.62</v>
      </c>
    </row>
    <row r="12" spans="1:3" ht="15" customHeight="1" x14ac:dyDescent="0.2">
      <c r="B12" s="5" t="s">
        <v>23</v>
      </c>
      <c r="C12" s="45">
        <v>0.72</v>
      </c>
    </row>
    <row r="13" spans="1:3" ht="15" customHeight="1" x14ac:dyDescent="0.2">
      <c r="B13" s="5" t="s">
        <v>24</v>
      </c>
      <c r="C13" s="45">
        <v>0.36399999999999999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3.5799999999999998E-2</v>
      </c>
    </row>
    <row r="24" spans="1:3" ht="15" customHeight="1" x14ac:dyDescent="0.2">
      <c r="B24" s="15" t="s">
        <v>33</v>
      </c>
      <c r="C24" s="45">
        <v>0.50009999999999999</v>
      </c>
    </row>
    <row r="25" spans="1:3" ht="15" customHeight="1" x14ac:dyDescent="0.2">
      <c r="B25" s="15" t="s">
        <v>34</v>
      </c>
      <c r="C25" s="45">
        <v>0.41830000000000001</v>
      </c>
    </row>
    <row r="26" spans="1:3" ht="15" customHeight="1" x14ac:dyDescent="0.2">
      <c r="B26" s="15" t="s">
        <v>35</v>
      </c>
      <c r="C26" s="45">
        <v>4.58E-2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4.1519983789687398</v>
      </c>
    </row>
    <row r="38" spans="1:5" ht="15" customHeight="1" x14ac:dyDescent="0.2">
      <c r="B38" s="11" t="s">
        <v>45</v>
      </c>
      <c r="C38" s="43">
        <v>6.1646907738214702</v>
      </c>
      <c r="D38" s="12"/>
      <c r="E38" s="13"/>
    </row>
    <row r="39" spans="1:5" ht="15" customHeight="1" x14ac:dyDescent="0.2">
      <c r="B39" s="11" t="s">
        <v>46</v>
      </c>
      <c r="C39" s="43">
        <v>7.2091319367048596</v>
      </c>
      <c r="D39" s="12"/>
      <c r="E39" s="12"/>
    </row>
    <row r="40" spans="1:5" ht="15" customHeight="1" x14ac:dyDescent="0.2">
      <c r="B40" s="11" t="s">
        <v>47</v>
      </c>
      <c r="C40" s="100">
        <v>0.28999999999999998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6.3355821780000001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7.2855999999999997E-3</v>
      </c>
      <c r="D45" s="12"/>
    </row>
    <row r="46" spans="1:5" ht="15.75" customHeight="1" x14ac:dyDescent="0.2">
      <c r="B46" s="11" t="s">
        <v>52</v>
      </c>
      <c r="C46" s="45">
        <v>8.0365599999999995E-2</v>
      </c>
      <c r="D46" s="12"/>
    </row>
    <row r="47" spans="1:5" ht="15.75" customHeight="1" x14ac:dyDescent="0.2">
      <c r="B47" s="11" t="s">
        <v>53</v>
      </c>
      <c r="C47" s="45">
        <v>5.4261799999999999E-2</v>
      </c>
      <c r="D47" s="12"/>
      <c r="E47" s="13"/>
    </row>
    <row r="48" spans="1:5" ht="15" customHeight="1" x14ac:dyDescent="0.2">
      <c r="B48" s="11" t="s">
        <v>54</v>
      </c>
      <c r="C48" s="46">
        <v>0.85808700000000004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2.9</v>
      </c>
      <c r="D51" s="12"/>
    </row>
    <row r="52" spans="1:4" ht="15" customHeight="1" x14ac:dyDescent="0.2">
      <c r="B52" s="11" t="s">
        <v>57</v>
      </c>
      <c r="C52" s="100">
        <v>2.9</v>
      </c>
    </row>
    <row r="53" spans="1:4" ht="15.75" customHeight="1" x14ac:dyDescent="0.2">
      <c r="B53" s="11" t="s">
        <v>58</v>
      </c>
      <c r="C53" s="100">
        <v>2.9</v>
      </c>
    </row>
    <row r="54" spans="1:4" ht="15.75" customHeight="1" x14ac:dyDescent="0.2">
      <c r="B54" s="11" t="s">
        <v>59</v>
      </c>
      <c r="C54" s="100">
        <v>2.9</v>
      </c>
    </row>
    <row r="55" spans="1:4" ht="15.75" customHeight="1" x14ac:dyDescent="0.2">
      <c r="B55" s="11" t="s">
        <v>60</v>
      </c>
      <c r="C55" s="100">
        <v>2.9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2.0689655172413789E-2</v>
      </c>
    </row>
    <row r="59" spans="1:4" ht="15.75" customHeight="1" x14ac:dyDescent="0.2">
      <c r="B59" s="11" t="s">
        <v>63</v>
      </c>
      <c r="C59" s="45">
        <v>0.60774699999999993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9.2394466000000008E-2</v>
      </c>
    </row>
    <row r="63" spans="1:4" ht="15.75" customHeight="1" x14ac:dyDescent="0.2">
      <c r="A63" s="4"/>
    </row>
  </sheetData>
  <sheetProtection algorithmName="SHA-512" hashValue="qDZStv4zKyKgLdK0Eeh7X2Jv7jBOZ5wr14od3DYaHTZ2Ilhm0W4dMYOres3NrzJ1mk9Rv9eHrTYT8BIYuf8kzA==" saltValue="IWPD6hQkg+9ZLewT1CKn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84.265913517575598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40.468189781356223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825.72943905266402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2.910507748141272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13.600489225152121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13.600489225152121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13.600489225152121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13.600489225152121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13.600489225152121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13.600489225152121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1.307255025047471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18.912221099022862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18.912221099022862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</v>
      </c>
      <c r="C21" s="98">
        <v>0.95</v>
      </c>
      <c r="D21" s="56">
        <v>36.461053003308884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23.778563587053029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4.6470312755738146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19.16115761564345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0.44400000000000001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173.52890625098581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2.636409199155751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2.8673817503679651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0.98476639168253099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4.8852293917660123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pOTYrhT6VlSc8vdJOvEyMV1UrRY1NO0U/tCJN4ADYno/prWzUoq8Yn6Pz/Pz6cpodv5UCHHMBxQieZM7aWc+Kg==" saltValue="WCmuftwpAinDtl/pZjA1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ZJOkHujgjdkiOzurqGP7LLc6crwTMkHCaoRR3MdC6vTYc7PRBnH1ey77P5RXqYSKsaArPZLrD8XpvzCQs0A6gg==" saltValue="Mv3aIB0ApBfyxqhPqq7tP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mU8kblGdLXHfy0v00d4/Tydc/2beqMHK7WmJ/IihOVcPpErCd/Tmp7yZxUnnw6BNfEQLtRzkx5uGleHWcywQkw==" saltValue="Y492yGp6Hc/srrc0JKSmg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">
      <c r="A3" s="3" t="s">
        <v>209</v>
      </c>
      <c r="B3" s="21">
        <f>frac_mam_1month * 2.6</f>
        <v>0.14978506195867083</v>
      </c>
      <c r="C3" s="21">
        <f>frac_mam_1_5months * 2.6</f>
        <v>0.14978506195867083</v>
      </c>
      <c r="D3" s="21">
        <f>frac_mam_6_11months * 2.6</f>
        <v>0.13060701590430701</v>
      </c>
      <c r="E3" s="21">
        <f>frac_mam_12_23months * 2.6</f>
        <v>0.10524530015347219</v>
      </c>
      <c r="F3" s="21">
        <f>frac_mam_24_59months * 2.6</f>
        <v>8.8959711246772599E-2</v>
      </c>
    </row>
    <row r="4" spans="1:6" ht="15.75" customHeight="1" x14ac:dyDescent="0.2">
      <c r="A4" s="3" t="s">
        <v>208</v>
      </c>
      <c r="B4" s="21">
        <f>frac_sam_1month * 2.6</f>
        <v>0.12965102682629215</v>
      </c>
      <c r="C4" s="21">
        <f>frac_sam_1_5months * 2.6</f>
        <v>0.12965102682629215</v>
      </c>
      <c r="D4" s="21">
        <f>frac_sam_6_11months * 2.6</f>
        <v>8.5604942196751119E-2</v>
      </c>
      <c r="E4" s="21">
        <f>frac_sam_12_23months * 2.6</f>
        <v>6.2052597301763122E-2</v>
      </c>
      <c r="F4" s="21">
        <f>frac_sam_24_59months * 2.6</f>
        <v>5.0547883829519705E-2</v>
      </c>
    </row>
  </sheetData>
  <sheetProtection algorithmName="SHA-512" hashValue="gmSISEd+5FzoTMIQtXFFkUN8a+Y1FlcPczh1lY2q5R0gMNu4C6GMCt68ZQ/aUhFF8RfivDEtRF1drsmUA53vsQ==" saltValue="i9Y2LG3QfpTYqXlcAMPn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0.36399999999999999</v>
      </c>
      <c r="M24" s="60">
        <f>famplan_unmet_need</f>
        <v>0.36399999999999999</v>
      </c>
      <c r="N24" s="60">
        <f>famplan_unmet_need</f>
        <v>0.36399999999999999</v>
      </c>
      <c r="O24" s="60">
        <f>famplan_unmet_need</f>
        <v>0.36399999999999999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0.1726341044616696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7.3986044769286968E-2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0.10344393768310528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0.64993591308593812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Dst/n20R1R24nEwOvfPEddxBsbgnPUQjCoB75Ju/ABbbe9omLMZ+98dDXgdgj3A7y2/YWLRjU3VNp1zMEmUGmg==" saltValue="Ur+UXHirrVa6wJyHLiFu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o/dvr9jgwZcyw0YVlPDwZa8WP9fRehFPFS4+iU5PN6y+WJblVjFb1Xhj770AmaiPIwLo8uKdVhmszV6ldSd7gg==" saltValue="c3gfTqNf/V5O7k21+gMY0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jToARsw2S5BADVyCziOkdCcTZb98AJWFCbBq9kXBJmVhdfeO91NNW5gxEjvfx7KxppLX95KUBNd2RuVf+RqxjQ==" saltValue="aPmK6kVehoxokcYDvRd6i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kWvGOwKjnkrXZ760JI/kB5yvndFUX3lrq7xumfO6uWSo42ahxK2RyOfgig6+mIhRMow0qP/kPfwNaay4ayNAA==" saltValue="H/yBcWitZC9600CV00tQh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jGfLsblFp9LiTGb7cABGYlFMefmI4erdYlKfZM41A2TA2DqSWvSwPfgakJtH5yR3jQUHyHzy+JqhTVNLI/hrg==" saltValue="wHLc3w69o2GjikIYjRX98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QruK5faGGDQoEqozxj5QQiY2Z/Lp1VuvKagUJ2R1mSzVjNlc0v/tJkMtwh6ZJNvHn9w8JJBNH7UtoVC8nQbVyQ==" saltValue="xxTo+VLEqrxVHo3/L7uTK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90611.926999999996</v>
      </c>
      <c r="C2" s="49">
        <v>232000</v>
      </c>
      <c r="D2" s="49">
        <v>553000</v>
      </c>
      <c r="E2" s="49">
        <v>532000</v>
      </c>
      <c r="F2" s="49">
        <v>359000</v>
      </c>
      <c r="G2" s="17">
        <f t="shared" ref="G2:G11" si="0">C2+D2+E2+F2</f>
        <v>1676000</v>
      </c>
      <c r="H2" s="17">
        <f t="shared" ref="H2:H11" si="1">(B2 + stillbirth*B2/(1000-stillbirth))/(1-abortion)</f>
        <v>103624.62116670211</v>
      </c>
      <c r="I2" s="17">
        <f t="shared" ref="I2:I11" si="2">G2-H2</f>
        <v>1572375.3788332979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88289.5</v>
      </c>
      <c r="C3" s="50">
        <v>215000</v>
      </c>
      <c r="D3" s="50">
        <v>530000</v>
      </c>
      <c r="E3" s="50">
        <v>533000</v>
      </c>
      <c r="F3" s="50">
        <v>369000</v>
      </c>
      <c r="G3" s="17">
        <f t="shared" si="0"/>
        <v>1647000</v>
      </c>
      <c r="H3" s="17">
        <f t="shared" si="1"/>
        <v>100968.67259535874</v>
      </c>
      <c r="I3" s="17">
        <f t="shared" si="2"/>
        <v>1546031.3274046413</v>
      </c>
    </row>
    <row r="4" spans="1:9" ht="15.75" customHeight="1" x14ac:dyDescent="0.2">
      <c r="A4" s="5">
        <f t="shared" si="3"/>
        <v>2023</v>
      </c>
      <c r="B4" s="49">
        <v>85848.634999999995</v>
      </c>
      <c r="C4" s="50">
        <v>197000</v>
      </c>
      <c r="D4" s="50">
        <v>504000</v>
      </c>
      <c r="E4" s="50">
        <v>530000</v>
      </c>
      <c r="F4" s="50">
        <v>378000</v>
      </c>
      <c r="G4" s="17">
        <f t="shared" si="0"/>
        <v>1609000</v>
      </c>
      <c r="H4" s="17">
        <f t="shared" si="1"/>
        <v>98177.277253506429</v>
      </c>
      <c r="I4" s="17">
        <f t="shared" si="2"/>
        <v>1510822.7227464935</v>
      </c>
    </row>
    <row r="5" spans="1:9" ht="15.75" customHeight="1" x14ac:dyDescent="0.2">
      <c r="A5" s="5">
        <f t="shared" si="3"/>
        <v>2024</v>
      </c>
      <c r="B5" s="49">
        <v>83426.78</v>
      </c>
      <c r="C5" s="50">
        <v>182000</v>
      </c>
      <c r="D5" s="50">
        <v>476000</v>
      </c>
      <c r="E5" s="50">
        <v>526000</v>
      </c>
      <c r="F5" s="50">
        <v>390000</v>
      </c>
      <c r="G5" s="17">
        <f t="shared" si="0"/>
        <v>1574000</v>
      </c>
      <c r="H5" s="17">
        <f t="shared" si="1"/>
        <v>95407.621919990735</v>
      </c>
      <c r="I5" s="17">
        <f t="shared" si="2"/>
        <v>1478592.3780800092</v>
      </c>
    </row>
    <row r="6" spans="1:9" ht="15.75" customHeight="1" x14ac:dyDescent="0.2">
      <c r="A6" s="5">
        <f t="shared" si="3"/>
        <v>2025</v>
      </c>
      <c r="B6" s="49">
        <v>81169.274000000005</v>
      </c>
      <c r="C6" s="50">
        <v>169000</v>
      </c>
      <c r="D6" s="50">
        <v>448000</v>
      </c>
      <c r="E6" s="50">
        <v>518000</v>
      </c>
      <c r="F6" s="50">
        <v>400000</v>
      </c>
      <c r="G6" s="17">
        <f t="shared" si="0"/>
        <v>1535000</v>
      </c>
      <c r="H6" s="17">
        <f t="shared" si="1"/>
        <v>92825.917592793761</v>
      </c>
      <c r="I6" s="17">
        <f t="shared" si="2"/>
        <v>1442174.0824072063</v>
      </c>
    </row>
    <row r="7" spans="1:9" ht="15.75" customHeight="1" x14ac:dyDescent="0.2">
      <c r="A7" s="5">
        <f t="shared" si="3"/>
        <v>2026</v>
      </c>
      <c r="B7" s="49">
        <v>78058.998000000007</v>
      </c>
      <c r="C7" s="50">
        <v>161000</v>
      </c>
      <c r="D7" s="50">
        <v>423000</v>
      </c>
      <c r="E7" s="50">
        <v>509000</v>
      </c>
      <c r="F7" s="50">
        <v>410000</v>
      </c>
      <c r="G7" s="17">
        <f t="shared" si="0"/>
        <v>1503000</v>
      </c>
      <c r="H7" s="17">
        <f t="shared" si="1"/>
        <v>89268.977762743743</v>
      </c>
      <c r="I7" s="17">
        <f t="shared" si="2"/>
        <v>1413731.0222372562</v>
      </c>
    </row>
    <row r="8" spans="1:9" ht="15.75" customHeight="1" x14ac:dyDescent="0.2">
      <c r="A8" s="5">
        <f t="shared" si="3"/>
        <v>2027</v>
      </c>
      <c r="B8" s="49">
        <v>75180.588199999998</v>
      </c>
      <c r="C8" s="50">
        <v>156000</v>
      </c>
      <c r="D8" s="50">
        <v>398000</v>
      </c>
      <c r="E8" s="50">
        <v>499000</v>
      </c>
      <c r="F8" s="50">
        <v>422000</v>
      </c>
      <c r="G8" s="17">
        <f t="shared" si="0"/>
        <v>1475000</v>
      </c>
      <c r="H8" s="17">
        <f t="shared" si="1"/>
        <v>85977.202221014857</v>
      </c>
      <c r="I8" s="17">
        <f t="shared" si="2"/>
        <v>1389022.7977789852</v>
      </c>
    </row>
    <row r="9" spans="1:9" ht="15.75" customHeight="1" x14ac:dyDescent="0.2">
      <c r="A9" s="5">
        <f t="shared" si="3"/>
        <v>2028</v>
      </c>
      <c r="B9" s="49">
        <v>72519.372800000012</v>
      </c>
      <c r="C9" s="50">
        <v>154000</v>
      </c>
      <c r="D9" s="50">
        <v>374000</v>
      </c>
      <c r="E9" s="50">
        <v>488000</v>
      </c>
      <c r="F9" s="50">
        <v>433000</v>
      </c>
      <c r="G9" s="17">
        <f t="shared" si="0"/>
        <v>1449000</v>
      </c>
      <c r="H9" s="17">
        <f t="shared" si="1"/>
        <v>82933.81216411879</v>
      </c>
      <c r="I9" s="17">
        <f t="shared" si="2"/>
        <v>1366066.1878358813</v>
      </c>
    </row>
    <row r="10" spans="1:9" ht="15.75" customHeight="1" x14ac:dyDescent="0.2">
      <c r="A10" s="5">
        <f t="shared" si="3"/>
        <v>2029</v>
      </c>
      <c r="B10" s="49">
        <v>70021.757400000017</v>
      </c>
      <c r="C10" s="50">
        <v>152000</v>
      </c>
      <c r="D10" s="50">
        <v>351000</v>
      </c>
      <c r="E10" s="50">
        <v>476000</v>
      </c>
      <c r="F10" s="50">
        <v>443000</v>
      </c>
      <c r="G10" s="17">
        <f t="shared" si="0"/>
        <v>1422000</v>
      </c>
      <c r="H10" s="17">
        <f t="shared" si="1"/>
        <v>80077.516550351284</v>
      </c>
      <c r="I10" s="17">
        <f t="shared" si="2"/>
        <v>1341922.4834496486</v>
      </c>
    </row>
    <row r="11" spans="1:9" ht="15.75" customHeight="1" x14ac:dyDescent="0.2">
      <c r="A11" s="5">
        <f t="shared" si="3"/>
        <v>2030</v>
      </c>
      <c r="B11" s="49">
        <v>67638.661999999997</v>
      </c>
      <c r="C11" s="50">
        <v>149000</v>
      </c>
      <c r="D11" s="50">
        <v>331000</v>
      </c>
      <c r="E11" s="50">
        <v>463000</v>
      </c>
      <c r="F11" s="50">
        <v>453000</v>
      </c>
      <c r="G11" s="17">
        <f t="shared" si="0"/>
        <v>1396000</v>
      </c>
      <c r="H11" s="17">
        <f t="shared" si="1"/>
        <v>77352.187046773775</v>
      </c>
      <c r="I11" s="17">
        <f t="shared" si="2"/>
        <v>1318647.8129532263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r1tM8eHBbQ/oB/UVHCyrUxx93WYuuGklZeZiPfSdg+e3uL/FW2a5x8qAebJpllZxwZZ1k4ZqIzZSzf9xaAd3Q==" saltValue="ZsrOrbVpiNBMj2qZK0dpu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Y8oQC1cIFkMjZLvoqc6pi2PPkHyMOEmYFRZZLLfznEkxArbmB4bSFC/xrfMd611AgffrlB8MaQkAwQmdmjAy0Q==" saltValue="IVMuSzULrGXMnl6KZUhKI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qWYxV3kWa/xM31KrLU9XCtJib12n38HdVoNT5w4vgBo+rzuz1XBkbUkol5R0DgLFOHy/KgPfswZyOmUKOG2Hlg==" saltValue="uQFh+iUhMLiB+B1FKWD4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dj0Yiwp3xJ0CgVfdQJ6hz7Pfn9m+0WvepFlt9chGyCJ7/nvhU4GC5qIAX8/SimTom6S3PNhF9RFup14DRQTwMA==" saltValue="RZg2Sb3INOFqam17tEkj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+OHNKktvmryc5cvBG9ziRhR+/Trkl3uCmgt20Wpsuk1uOAMKEn47OgPAQL+g6WYF6DHB3qygYc2x5O66jhw1UQ==" saltValue="XLJDxBJ9WaYNU4Kv41q79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fQVcf1eCmJDEDwiLRyvmj6ctT6zG4Trr+aSf+lKVAMYC3yMKe5ptLsdLiOS4SnyJrsfV8+IxXnsde9yabcgpEQ==" saltValue="7mtvWjL9BcD5fu+4uLeu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QDobyPk38RuNls9tJfekNCxfIdLLdAh4wb+vShaKu+ECJ2WmoooctUZr1QrcigaCVHYT4lqw3AmlBf6jMncxYA==" saltValue="7KMazISHIZi0PkD7wFRx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Tyh9sPZJEWGM5jt6PQFVt01vq/1Uem/8YDLbxyiSr2ASTe8XtgEWyKv4OMKh7txqUKNGJ47m3TyjvQLqDOZziw==" saltValue="qt1nUiAKIt5MUlsD4bzra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rtLtzcmEUi+J/ydvD+D50h76WUllfhNiRTmq3oo8ZDyaNQq7TVH4pJA2/Cuj4SEuhnHr/IZmTieVEeWEpvxbaA==" saltValue="tWljO9yLJjEnbshZFx4T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eC3PUYRAG7pogz90WuXA3AYyIEXmuvl8ie8PJ88vVLIZkfQgvmxD0riH36+bugFm7YZZWZPwzIO2R3/9ZOox/g==" saltValue="1wrOERtlXOwKfbk4huqxl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6.5611066876615234E-2</v>
      </c>
    </row>
    <row r="5" spans="1:8" ht="15.75" customHeight="1" x14ac:dyDescent="0.2">
      <c r="B5" s="19" t="s">
        <v>80</v>
      </c>
      <c r="C5" s="101">
        <v>2.641013492562843E-2</v>
      </c>
    </row>
    <row r="6" spans="1:8" ht="15.75" customHeight="1" x14ac:dyDescent="0.2">
      <c r="B6" s="19" t="s">
        <v>81</v>
      </c>
      <c r="C6" s="101">
        <v>0.12798221487456141</v>
      </c>
    </row>
    <row r="7" spans="1:8" ht="15.75" customHeight="1" x14ac:dyDescent="0.2">
      <c r="B7" s="19" t="s">
        <v>82</v>
      </c>
      <c r="C7" s="101">
        <v>0.37292150739684299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0.27433312317522701</v>
      </c>
    </row>
    <row r="10" spans="1:8" ht="15.75" customHeight="1" x14ac:dyDescent="0.2">
      <c r="B10" s="19" t="s">
        <v>85</v>
      </c>
      <c r="C10" s="101">
        <v>0.13274195275112499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6.5977717165078512E-2</v>
      </c>
      <c r="D14" s="55">
        <v>6.5977717165078512E-2</v>
      </c>
      <c r="E14" s="55">
        <v>6.5977717165078512E-2</v>
      </c>
      <c r="F14" s="55">
        <v>6.5977717165078512E-2</v>
      </c>
    </row>
    <row r="15" spans="1:8" ht="15.75" customHeight="1" x14ac:dyDescent="0.2">
      <c r="B15" s="19" t="s">
        <v>88</v>
      </c>
      <c r="C15" s="101">
        <v>0.1178857627358417</v>
      </c>
      <c r="D15" s="101">
        <v>0.1178857627358417</v>
      </c>
      <c r="E15" s="101">
        <v>0.1178857627358417</v>
      </c>
      <c r="F15" s="101">
        <v>0.1178857627358417</v>
      </c>
    </row>
    <row r="16" spans="1:8" ht="15.75" customHeight="1" x14ac:dyDescent="0.2">
      <c r="B16" s="19" t="s">
        <v>89</v>
      </c>
      <c r="C16" s="101">
        <v>1.990981811714156E-2</v>
      </c>
      <c r="D16" s="101">
        <v>1.990981811714156E-2</v>
      </c>
      <c r="E16" s="101">
        <v>1.990981811714156E-2</v>
      </c>
      <c r="F16" s="101">
        <v>1.990981811714156E-2</v>
      </c>
    </row>
    <row r="17" spans="1:8" ht="15.75" customHeight="1" x14ac:dyDescent="0.2">
      <c r="B17" s="19" t="s">
        <v>90</v>
      </c>
      <c r="C17" s="101">
        <v>3.980240696059875E-3</v>
      </c>
      <c r="D17" s="101">
        <v>3.980240696059875E-3</v>
      </c>
      <c r="E17" s="101">
        <v>3.980240696059875E-3</v>
      </c>
      <c r="F17" s="101">
        <v>3.980240696059875E-3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2.7485828575464739E-2</v>
      </c>
      <c r="D19" s="101">
        <v>2.7485828575464739E-2</v>
      </c>
      <c r="E19" s="101">
        <v>2.7485828575464739E-2</v>
      </c>
      <c r="F19" s="101">
        <v>2.7485828575464739E-2</v>
      </c>
    </row>
    <row r="20" spans="1:8" ht="15.75" customHeight="1" x14ac:dyDescent="0.2">
      <c r="B20" s="19" t="s">
        <v>93</v>
      </c>
      <c r="C20" s="101">
        <v>6.6334243382175674E-3</v>
      </c>
      <c r="D20" s="101">
        <v>6.6334243382175674E-3</v>
      </c>
      <c r="E20" s="101">
        <v>6.6334243382175674E-3</v>
      </c>
      <c r="F20" s="101">
        <v>6.6334243382175674E-3</v>
      </c>
    </row>
    <row r="21" spans="1:8" ht="15.75" customHeight="1" x14ac:dyDescent="0.2">
      <c r="B21" s="19" t="s">
        <v>94</v>
      </c>
      <c r="C21" s="101">
        <v>0.16834129214315979</v>
      </c>
      <c r="D21" s="101">
        <v>0.16834129214315979</v>
      </c>
      <c r="E21" s="101">
        <v>0.16834129214315979</v>
      </c>
      <c r="F21" s="101">
        <v>0.16834129214315979</v>
      </c>
    </row>
    <row r="22" spans="1:8" ht="15.75" customHeight="1" x14ac:dyDescent="0.2">
      <c r="B22" s="19" t="s">
        <v>95</v>
      </c>
      <c r="C22" s="101">
        <v>0.5897859162290362</v>
      </c>
      <c r="D22" s="101">
        <v>0.5897859162290362</v>
      </c>
      <c r="E22" s="101">
        <v>0.5897859162290362</v>
      </c>
      <c r="F22" s="101">
        <v>0.5897859162290362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4.5249643999999999E-2</v>
      </c>
    </row>
    <row r="27" spans="1:8" ht="15.75" customHeight="1" x14ac:dyDescent="0.2">
      <c r="B27" s="19" t="s">
        <v>102</v>
      </c>
      <c r="C27" s="101">
        <v>5.4447637999999993E-2</v>
      </c>
    </row>
    <row r="28" spans="1:8" ht="15.75" customHeight="1" x14ac:dyDescent="0.2">
      <c r="B28" s="19" t="s">
        <v>103</v>
      </c>
      <c r="C28" s="101">
        <v>9.8457505000000001E-2</v>
      </c>
    </row>
    <row r="29" spans="1:8" ht="15.75" customHeight="1" x14ac:dyDescent="0.2">
      <c r="B29" s="19" t="s">
        <v>104</v>
      </c>
      <c r="C29" s="101">
        <v>0.11500012900000001</v>
      </c>
    </row>
    <row r="30" spans="1:8" ht="15.75" customHeight="1" x14ac:dyDescent="0.2">
      <c r="B30" s="19" t="s">
        <v>2</v>
      </c>
      <c r="C30" s="101">
        <v>5.0745075000000001E-2</v>
      </c>
    </row>
    <row r="31" spans="1:8" ht="15.75" customHeight="1" x14ac:dyDescent="0.2">
      <c r="B31" s="19" t="s">
        <v>105</v>
      </c>
      <c r="C31" s="101">
        <v>3.6627643000000001E-2</v>
      </c>
    </row>
    <row r="32" spans="1:8" ht="15.75" customHeight="1" x14ac:dyDescent="0.2">
      <c r="B32" s="19" t="s">
        <v>106</v>
      </c>
      <c r="C32" s="101">
        <v>0.18180017400000001</v>
      </c>
    </row>
    <row r="33" spans="2:3" ht="15.75" customHeight="1" x14ac:dyDescent="0.2">
      <c r="B33" s="19" t="s">
        <v>107</v>
      </c>
      <c r="C33" s="101">
        <v>0.15539587599999999</v>
      </c>
    </row>
    <row r="34" spans="2:3" ht="15.75" customHeight="1" x14ac:dyDescent="0.2">
      <c r="B34" s="19" t="s">
        <v>108</v>
      </c>
      <c r="C34" s="101">
        <v>0.26227631499999998</v>
      </c>
    </row>
    <row r="35" spans="2:3" ht="15.75" customHeight="1" x14ac:dyDescent="0.2">
      <c r="B35" s="27" t="s">
        <v>41</v>
      </c>
      <c r="C35" s="48">
        <f>SUM(C26:C34)</f>
        <v>0.99999999900000014</v>
      </c>
    </row>
  </sheetData>
  <sheetProtection algorithmName="SHA-512" hashValue="Ql3cd3cjKVq/DYW4fQf5NvA5HOSA05wPCDSMVUmeTwmCh99viSumfQVglrn5MtGJ9tyEaV3mizWOwWXzX8gHAw==" saltValue="QMeWesGuX8lPkNR6i7TJC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0.51125461030683228</v>
      </c>
      <c r="D2" s="52">
        <f>IFERROR(1-_xlfn.NORM.DIST(_xlfn.NORM.INV(SUM(D4:D5), 0, 1) + 1, 0, 1, TRUE), "")</f>
        <v>0.51125461030683228</v>
      </c>
      <c r="E2" s="52">
        <f>IFERROR(1-_xlfn.NORM.DIST(_xlfn.NORM.INV(SUM(E4:E5), 0, 1) + 1, 0, 1, TRUE), "")</f>
        <v>0.53148410425577985</v>
      </c>
      <c r="F2" s="52">
        <f>IFERROR(1-_xlfn.NORM.DIST(_xlfn.NORM.INV(SUM(F4:F5), 0, 1) + 1, 0, 1, TRUE), "")</f>
        <v>0.42358529233759468</v>
      </c>
      <c r="G2" s="52">
        <f>IFERROR(1-_xlfn.NORM.DIST(_xlfn.NORM.INV(SUM(G4:G5), 0, 1) + 1, 0, 1, TRUE), "")</f>
        <v>0.42767758588363169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0.33682100652550928</v>
      </c>
      <c r="D3" s="52">
        <f>IFERROR(_xlfn.NORM.DIST(_xlfn.NORM.INV(SUM(D4:D5), 0, 1) + 1, 0, 1, TRUE) - SUM(D4:D5), "")</f>
        <v>0.33682100652550928</v>
      </c>
      <c r="E3" s="52">
        <f>IFERROR(_xlfn.NORM.DIST(_xlfn.NORM.INV(SUM(E4:E5), 0, 1) + 1, 0, 1, TRUE) - SUM(E4:E5), "")</f>
        <v>0.3282222649495557</v>
      </c>
      <c r="F3" s="52">
        <f>IFERROR(_xlfn.NORM.DIST(_xlfn.NORM.INV(SUM(F4:F5), 0, 1) + 1, 0, 1, TRUE) - SUM(F4:F5), "")</f>
        <v>0.36665929350606591</v>
      </c>
      <c r="G3" s="52">
        <f>IFERROR(_xlfn.NORM.DIST(_xlfn.NORM.INV(SUM(G4:G5), 0, 1) + 1, 0, 1, TRUE) - SUM(G4:G5), "")</f>
        <v>0.36556102396427448</v>
      </c>
    </row>
    <row r="4" spans="1:15" ht="15.75" customHeight="1" x14ac:dyDescent="0.2">
      <c r="B4" s="5" t="s">
        <v>114</v>
      </c>
      <c r="C4" s="45">
        <v>8.1864543355444006E-2</v>
      </c>
      <c r="D4" s="53">
        <v>8.1864543355444006E-2</v>
      </c>
      <c r="E4" s="53">
        <v>7.8992135379952894E-2</v>
      </c>
      <c r="F4" s="53">
        <v>0.116542775758953</v>
      </c>
      <c r="G4" s="53">
        <v>0.120554210605941</v>
      </c>
    </row>
    <row r="5" spans="1:15" ht="15.75" customHeight="1" x14ac:dyDescent="0.2">
      <c r="B5" s="5" t="s">
        <v>115</v>
      </c>
      <c r="C5" s="45">
        <v>7.0059839812214503E-2</v>
      </c>
      <c r="D5" s="53">
        <v>7.0059839812214503E-2</v>
      </c>
      <c r="E5" s="53">
        <v>6.1301495414711603E-2</v>
      </c>
      <c r="F5" s="53">
        <v>9.3212638397386402E-2</v>
      </c>
      <c r="G5" s="53">
        <v>8.6207179546152798E-2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0.59486060710049471</v>
      </c>
      <c r="D8" s="52">
        <f>IFERROR(1-_xlfn.NORM.DIST(_xlfn.NORM.INV(SUM(D10:D11), 0, 1) + 1, 0, 1, TRUE), "")</f>
        <v>0.59486060710049471</v>
      </c>
      <c r="E8" s="52">
        <f>IFERROR(1-_xlfn.NORM.DIST(_xlfn.NORM.INV(SUM(E10:E11), 0, 1) + 1, 0, 1, TRUE), "")</f>
        <v>0.6495610836668706</v>
      </c>
      <c r="F8" s="52">
        <f>IFERROR(1-_xlfn.NORM.DIST(_xlfn.NORM.INV(SUM(F10:F11), 0, 1) + 1, 0, 1, TRUE), "")</f>
        <v>0.69821910954317279</v>
      </c>
      <c r="G8" s="52">
        <f>IFERROR(1-_xlfn.NORM.DIST(_xlfn.NORM.INV(SUM(G10:G11), 0, 1) + 1, 0, 1, TRUE), "")</f>
        <v>0.72919705194287909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0.297663974136058</v>
      </c>
      <c r="D9" s="52">
        <f>IFERROR(_xlfn.NORM.DIST(_xlfn.NORM.INV(SUM(D10:D11), 0, 1) + 1, 0, 1, TRUE) - SUM(D10:D11), "")</f>
        <v>0.297663974136058</v>
      </c>
      <c r="E9" s="52">
        <f>IFERROR(_xlfn.NORM.DIST(_xlfn.NORM.INV(SUM(E10:E11), 0, 1) + 1, 0, 1, TRUE) - SUM(E10:E11), "")</f>
        <v>0.26728047090964552</v>
      </c>
      <c r="F9" s="52">
        <f>IFERROR(_xlfn.NORM.DIST(_xlfn.NORM.INV(SUM(F10:F11), 0, 1) + 1, 0, 1, TRUE) - SUM(F10:F11), "")</f>
        <v>0.23743554528173672</v>
      </c>
      <c r="G9" s="52">
        <f>IFERROR(_xlfn.NORM.DIST(_xlfn.NORM.INV(SUM(G10:G11), 0, 1) + 1, 0, 1, TRUE) - SUM(G10:G11), "")</f>
        <v>0.2171461807200854</v>
      </c>
    </row>
    <row r="10" spans="1:15" ht="15.75" customHeight="1" x14ac:dyDescent="0.2">
      <c r="B10" s="5" t="s">
        <v>119</v>
      </c>
      <c r="C10" s="45">
        <v>5.7609639214873401E-2</v>
      </c>
      <c r="D10" s="53">
        <v>5.7609639214873401E-2</v>
      </c>
      <c r="E10" s="53">
        <v>5.0233467655502698E-2</v>
      </c>
      <c r="F10" s="53">
        <v>4.0478961597489302E-2</v>
      </c>
      <c r="G10" s="53">
        <v>3.4215273556451001E-2</v>
      </c>
    </row>
    <row r="11" spans="1:15" ht="15.75" customHeight="1" x14ac:dyDescent="0.2">
      <c r="B11" s="5" t="s">
        <v>120</v>
      </c>
      <c r="C11" s="45">
        <v>4.9865779548573901E-2</v>
      </c>
      <c r="D11" s="53">
        <v>4.9865779548573901E-2</v>
      </c>
      <c r="E11" s="53">
        <v>3.2924977767981201E-2</v>
      </c>
      <c r="F11" s="53">
        <v>2.3866383577601201E-2</v>
      </c>
      <c r="G11" s="53">
        <v>1.94414937805845E-2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0.27132991649999999</v>
      </c>
      <c r="D14" s="54">
        <v>0.26430615274399999</v>
      </c>
      <c r="E14" s="54">
        <v>0.26430615274399999</v>
      </c>
      <c r="F14" s="54">
        <v>0.223280819125</v>
      </c>
      <c r="G14" s="54">
        <v>0.223280819125</v>
      </c>
      <c r="H14" s="45">
        <v>0.35199999999999998</v>
      </c>
      <c r="I14" s="55">
        <v>0.35199999999999998</v>
      </c>
      <c r="J14" s="55">
        <v>0.35199999999999998</v>
      </c>
      <c r="K14" s="55">
        <v>0.35199999999999998</v>
      </c>
      <c r="L14" s="45">
        <v>0.311</v>
      </c>
      <c r="M14" s="55">
        <v>0.311</v>
      </c>
      <c r="N14" s="55">
        <v>0.311</v>
      </c>
      <c r="O14" s="55">
        <v>0.311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0.16489994276312547</v>
      </c>
      <c r="D15" s="52">
        <f t="shared" si="0"/>
        <v>0.16063127141170774</v>
      </c>
      <c r="E15" s="52">
        <f t="shared" si="0"/>
        <v>0.16063127141170774</v>
      </c>
      <c r="F15" s="52">
        <f t="shared" si="0"/>
        <v>0.13569824798076136</v>
      </c>
      <c r="G15" s="52">
        <f t="shared" si="0"/>
        <v>0.13569824798076136</v>
      </c>
      <c r="H15" s="52">
        <f t="shared" si="0"/>
        <v>0.21392694399999995</v>
      </c>
      <c r="I15" s="52">
        <f t="shared" si="0"/>
        <v>0.21392694399999995</v>
      </c>
      <c r="J15" s="52">
        <f t="shared" si="0"/>
        <v>0.21392694399999995</v>
      </c>
      <c r="K15" s="52">
        <f t="shared" si="0"/>
        <v>0.21392694399999995</v>
      </c>
      <c r="L15" s="52">
        <f t="shared" si="0"/>
        <v>0.18900931699999998</v>
      </c>
      <c r="M15" s="52">
        <f t="shared" si="0"/>
        <v>0.18900931699999998</v>
      </c>
      <c r="N15" s="52">
        <f t="shared" si="0"/>
        <v>0.18900931699999998</v>
      </c>
      <c r="O15" s="52">
        <f t="shared" si="0"/>
        <v>0.18900931699999998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t5cxG7ZYJwgPe0w3JlX8UwSy5+Toy/O7oXBeQev+j/mRDtErbCShWuwwS1OVe1PvMwT3gziIumzUW7hujZ5UVQ==" saltValue="YY7slqOFBGoPU9lztIfX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0.47441533830470101</v>
      </c>
      <c r="D2" s="53">
        <v>0.249006558518518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0.24064901516329801</v>
      </c>
      <c r="D3" s="53">
        <v>0.25356143296296302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0.22714206055871899</v>
      </c>
      <c r="D4" s="53">
        <v>0.38518552888888902</v>
      </c>
      <c r="E4" s="53">
        <v>0.76811478033432612</v>
      </c>
      <c r="F4" s="53">
        <v>0.45280809689485102</v>
      </c>
      <c r="G4" s="53">
        <v>0</v>
      </c>
    </row>
    <row r="5" spans="1:7" x14ac:dyDescent="0.2">
      <c r="B5" s="3" t="s">
        <v>132</v>
      </c>
      <c r="C5" s="52">
        <v>5.7793588639874799E-2</v>
      </c>
      <c r="D5" s="52">
        <v>0.109450569895523</v>
      </c>
      <c r="E5" s="52">
        <f>1-SUM(E2:E4)</f>
        <v>0.23188521966567388</v>
      </c>
      <c r="F5" s="52">
        <f>1-SUM(F2:F4)</f>
        <v>0.54719190310514898</v>
      </c>
      <c r="G5" s="52">
        <f>1-SUM(G2:G4)</f>
        <v>1</v>
      </c>
    </row>
  </sheetData>
  <sheetProtection algorithmName="SHA-512" hashValue="oUqLlvCHiGEHckvMjVsKhhAxoDVpYWUK0BBOpV1o4PJObOYGq4f8tn5sSGL0B2cqv5ggVCzL6ua9WgKqmW1bLw==" saltValue="lQnOV177bpbx1kJ0BcKPM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4jF6l2qMhOB0QKG7h5RfP5108CZAhegLejWhMhacQTB5Q8zHYeKawitEOnNwB4Yyx1q3ZzCws7DARMEWLqoh+g==" saltValue="JBJQRntBEBFGI46b23ibg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oa9HifiqjPC62QpsA5td+1rDbHuY6Qxn2VdFwnsaiEMnmJAQ93LDHlzA/n3VonDIJZZx/rhiuWMKnh8ikiaAkQ==" saltValue="BG0wEX71Kd2lSriI4QX3b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XNYyLJEIBEOV6hphgRWibR8ZvAMEc4MQWq/G1/y0w6S6BxPAb1fCJdwKfYeiWFQVKvl/bY7DIsa+o9WuPmfifw==" saltValue="y8aRD+RlMPpPDEOMzS2pB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E5ndES98fdCYEaHd2jM+f+PuZOx23BFRbivaf++qtxZqSd+BROgQBVJ7kL+rwAlcZd46uX0xhPAX7iWLfdAq8w==" saltValue="vBdxEuPC8LwysY9py7I+w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2023-01-27T03:25:39Z</dcterms:modified>
</cp:coreProperties>
</file>