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5F6DD18-F455-4BED-9D2A-BCCA344BC27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A35" i="2"/>
  <c r="A27" i="2"/>
  <c r="A19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I3" i="2"/>
  <c r="H3" i="2"/>
  <c r="G3" i="2"/>
  <c r="H2" i="2"/>
  <c r="I2" i="2" s="1"/>
  <c r="G2" i="2"/>
  <c r="A2" i="2"/>
  <c r="A31" i="2" s="1"/>
  <c r="C33" i="1"/>
  <c r="C20" i="1"/>
  <c r="I40" i="2" l="1"/>
  <c r="A15" i="2"/>
  <c r="A16" i="2"/>
  <c r="A23" i="2"/>
  <c r="A3" i="2"/>
  <c r="A24" i="2"/>
  <c r="A32" i="2"/>
  <c r="I38" i="2"/>
  <c r="A17" i="2"/>
  <c r="A25" i="2"/>
  <c r="A33" i="2"/>
  <c r="A18" i="2"/>
  <c r="A26" i="2"/>
  <c r="A34" i="2"/>
  <c r="A39" i="2"/>
  <c r="A6" i="2"/>
  <c r="A7" i="2" s="1"/>
  <c r="A8" i="2" s="1"/>
  <c r="A9" i="2" s="1"/>
  <c r="A10" i="2" s="1"/>
  <c r="A11" i="2" s="1"/>
  <c r="A12" i="2"/>
  <c r="A28" i="2"/>
  <c r="A36" i="2"/>
  <c r="A13" i="2"/>
  <c r="A21" i="2"/>
  <c r="A29" i="2"/>
  <c r="A37" i="2"/>
  <c r="D58" i="20"/>
  <c r="A4" i="2"/>
  <c r="A5" i="2" s="1"/>
  <c r="A20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<sst xmlns="http://schemas.openxmlformats.org/spreadsheetml/2006/main" count="2092" uniqueCount="337">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</sst>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36148.714599609397</v>
      </c>
    </row>
    <row r="8" spans="1:3" ht="15" customHeight="1" x14ac:dyDescent="0.2">
      <c r="B8" s="5" t="s">
        <v>19</v>
      </c>
      <c r="C8" s="44">
        <v>1.7000000000000001E-2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0.89240097045898392</v>
      </c>
    </row>
    <row r="11" spans="1:3" ht="15" customHeight="1" x14ac:dyDescent="0.2">
      <c r="B11" s="5" t="s">
        <v>22</v>
      </c>
      <c r="C11" s="45">
        <v>0.86599999999999999</v>
      </c>
    </row>
    <row r="12" spans="1:3" ht="15" customHeight="1" x14ac:dyDescent="0.2">
      <c r="B12" s="5" t="s">
        <v>23</v>
      </c>
      <c r="C12" s="45">
        <v>0.89400000000000002</v>
      </c>
    </row>
    <row r="13" spans="1:3" ht="15" customHeight="1" x14ac:dyDescent="0.2">
      <c r="B13" s="5" t="s">
        <v>24</v>
      </c>
      <c r="C13" s="45">
        <v>0.65900000000000003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3.6700000000000003E-2</v>
      </c>
    </row>
    <row r="24" spans="1:3" ht="15" customHeight="1" x14ac:dyDescent="0.2">
      <c r="B24" s="15" t="s">
        <v>33</v>
      </c>
      <c r="C24" s="45">
        <v>0.53120000000000001</v>
      </c>
    </row>
    <row r="25" spans="1:3" ht="15" customHeight="1" x14ac:dyDescent="0.2">
      <c r="B25" s="15" t="s">
        <v>34</v>
      </c>
      <c r="C25" s="45">
        <v>0.40350000000000003</v>
      </c>
    </row>
    <row r="26" spans="1:3" ht="15" customHeight="1" x14ac:dyDescent="0.2">
      <c r="B26" s="15" t="s">
        <v>35</v>
      </c>
      <c r="C26" s="45">
        <v>2.86E-2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1.30269341644374</v>
      </c>
    </row>
    <row r="38" spans="1:5" ht="15" customHeight="1" x14ac:dyDescent="0.2">
      <c r="B38" s="11" t="s">
        <v>45</v>
      </c>
      <c r="C38" s="43">
        <v>2.0397516103772699</v>
      </c>
      <c r="D38" s="12"/>
      <c r="E38" s="13"/>
    </row>
    <row r="39" spans="1:5" ht="15" customHeight="1" x14ac:dyDescent="0.2">
      <c r="B39" s="11" t="s">
        <v>46</v>
      </c>
      <c r="C39" s="43">
        <v>2.32534602782781</v>
      </c>
      <c r="D39" s="12"/>
      <c r="E39" s="12"/>
    </row>
    <row r="40" spans="1:5" ht="15" customHeight="1" x14ac:dyDescent="0.2">
      <c r="B40" s="11" t="s">
        <v>47</v>
      </c>
      <c r="C40" s="100">
        <v>0.06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3.5746903539999999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5.8389999999999996E-3</v>
      </c>
      <c r="D45" s="12"/>
    </row>
    <row r="46" spans="1:5" ht="15.75" customHeight="1" x14ac:dyDescent="0.2">
      <c r="B46" s="11" t="s">
        <v>52</v>
      </c>
      <c r="C46" s="45">
        <v>6.3507999999999995E-2</v>
      </c>
      <c r="D46" s="12"/>
    </row>
    <row r="47" spans="1:5" ht="15.75" customHeight="1" x14ac:dyDescent="0.2">
      <c r="B47" s="11" t="s">
        <v>53</v>
      </c>
      <c r="C47" s="45">
        <v>3.3032499999999999E-2</v>
      </c>
      <c r="D47" s="12"/>
      <c r="E47" s="13"/>
    </row>
    <row r="48" spans="1:5" ht="15" customHeight="1" x14ac:dyDescent="0.2">
      <c r="B48" s="11" t="s">
        <v>54</v>
      </c>
      <c r="C48" s="46">
        <v>0.89762050000000004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0.62463999999999997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5.4530763999999898E-2</v>
      </c>
    </row>
    <row r="63" spans="1:4" ht="15.75" customHeight="1" x14ac:dyDescent="0.2">
      <c r="A63" s="4"/>
    </row>
  </sheetData>
  <sheetProtection algorithmName="SHA-512" hashValue="AEDxMWSIkVbXNpqztiE/wrWvN5uDv0Rj3DRIp1g+8lp8WGH6uSq0MjAL75O39m/XJiDJxUgZvqe0MC7K31eCCA==" saltValue="qcCLeVq5HuJYKs8o5Mku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0.30567771915591901</v>
      </c>
      <c r="C2" s="98">
        <v>0.95</v>
      </c>
      <c r="D2" s="56">
        <v>76.430830296277207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40.292575813137638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702.89347992688124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6.6292215715502589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13.42487525693355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13.42487525693355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13.42487525693355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13.42487525693355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13.42487525693355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13.42487525693355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0.504044444449538</v>
      </c>
      <c r="C16" s="98">
        <v>0.95</v>
      </c>
      <c r="D16" s="56">
        <v>1.131641056828899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16.11738326300533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16.11738326300533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0.21345476806163799</v>
      </c>
      <c r="C21" s="98">
        <v>0.95</v>
      </c>
      <c r="D21" s="56">
        <v>70.114008769456447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23.383432158561249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1.41739738E-2</v>
      </c>
      <c r="C23" s="98">
        <v>0.95</v>
      </c>
      <c r="D23" s="56">
        <v>4.5372725454372071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0.76729032084779902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0.27116277479598699</v>
      </c>
      <c r="C27" s="98">
        <v>0.95</v>
      </c>
      <c r="D27" s="56">
        <v>18.854821117415401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0.31886409999999998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155.6465054085146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1.36088480804361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0.17159460000000001</v>
      </c>
      <c r="C32" s="98">
        <v>0.95</v>
      </c>
      <c r="D32" s="56">
        <v>2.472250321876178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0.9777387829326899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2.134910144430378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0.66023089999999995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LYdxYNv/MlPqTAEUAPmAaK2lvjsZg1dqV0fCQkV3dFjMmpLpgre//cfEh0/q5M5+b2573vgC7hzGusHB4BCaA==" saltValue="tsl2rZ/UtZnW+d4EYOzl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lSeWH9f4KOT8x7CTVeOyW7n1szIG1TNplx5kiAcSYQpMZe8yemwF5WoWEz6xtOWqnj8nv88GR+22zkluidRQg==" saltValue="9juk7PHh0vkhn5akR9FP8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nN96D1/6ej1Et9diThnGZCewXOrKqnU57o9Pri+pc2Rbds4Ym2BC7MgW7L3HXMODur4cPagKvjim6RNdx7A6w==" saltValue="s8pqp4lh3EEt1QCkSwhu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0.2067890604</v>
      </c>
      <c r="C3" s="21">
        <f>frac_mam_1_5months * 2.6</f>
        <v>0.2067890604</v>
      </c>
      <c r="D3" s="21">
        <f>frac_mam_6_11months * 2.6</f>
        <v>9.4452256599999992E-2</v>
      </c>
      <c r="E3" s="21">
        <f>frac_mam_12_23months * 2.6</f>
        <v>0</v>
      </c>
      <c r="F3" s="21">
        <f>frac_mam_24_59months * 2.6</f>
        <v>2.6917261800000002E-2</v>
      </c>
    </row>
    <row r="4" spans="1:6" ht="15.75" customHeight="1" x14ac:dyDescent="0.2">
      <c r="A4" s="3" t="s">
        <v>208</v>
      </c>
      <c r="B4" s="21">
        <f>frac_sam_1month * 2.6</f>
        <v>4.02068316E-2</v>
      </c>
      <c r="C4" s="21">
        <f>frac_sam_1_5months * 2.6</f>
        <v>4.02068316E-2</v>
      </c>
      <c r="D4" s="21">
        <f>frac_sam_6_11months * 2.6</f>
        <v>0</v>
      </c>
      <c r="E4" s="21">
        <f>frac_sam_12_23months * 2.6</f>
        <v>2.3977090539999999E-2</v>
      </c>
      <c r="F4" s="21">
        <f>frac_sam_24_59months * 2.6</f>
        <v>1.0915497060000001E-2</v>
      </c>
    </row>
  </sheetData>
  <sheetProtection algorithmName="SHA-512" hashValue="7NIH4Qx4+F+I/D9706LDKChGgNPJ5pZ3BLPAuk+rUgAxHON6E3uUJ4AYTATOE9vWNFzq5GLzLnGvbE6NeP5auw==" saltValue="CI36GzENas+6fHdKhzqq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0.86599999999999999</v>
      </c>
      <c r="I18" s="60">
        <f>frac_PW_health_facility</f>
        <v>0.86599999999999999</v>
      </c>
      <c r="J18" s="60">
        <f>frac_PW_health_facility</f>
        <v>0.86599999999999999</v>
      </c>
      <c r="K18" s="60">
        <f>frac_PW_health_facility</f>
        <v>0.86599999999999999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0.65900000000000003</v>
      </c>
      <c r="M24" s="60">
        <f>famplan_unmet_need</f>
        <v>0.65900000000000003</v>
      </c>
      <c r="N24" s="60">
        <f>famplan_unmet_need</f>
        <v>0.65900000000000003</v>
      </c>
      <c r="O24" s="60">
        <f>famplan_unmet_need</f>
        <v>0.65900000000000003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5.3107653010559308E-2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2.2760422718811131E-2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3.1730953811645639E-2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0.89240097045898392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gFQl3hchob41ipzUw+58x6+6bgagicCTXUL9/QuhHD9K9wuO0GqAPG91rHbvut7Fri+0mDcsI6GzWiB9/gYp4A==" saltValue="Yb+cgFhBC8mpic62LEnh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8aRfHx/RO+KvNwwYsEwioulV5uoHwOShJAOwkemyp6w3I68dmZalC480eZyGIDvdUYpxzL9po7FzF1Xl5gNKg==" saltValue="R/T6L8HYlBzScZQKlicD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SODlYtAJktOS1GWt6F3UKVXdwFtRAt8DPKYCPyLiYIeTAnNZ4sHaXi4gv4MeJtYvbw5W8T2JGCP1mb4ppjyzg==" saltValue="uBDb1WyW6lul0PXMLtfE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IACdZxK843iboZ2LzywGI5XbXthfYRyM6wbhl7kbBJK2t+yITJTMnekqrZYiVaEgEA1qaCBgvTJ9+uXE75l6w==" saltValue="P+d+nOBehzA+ChUV/Mwjg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Emk8MGoBPFTk81WquvBWWtzfN1HU6Xi9vc5Z9jXPUcDJVrUNv87WP+MEYOM9UHR3Uke7LuKFXhmR8XElVk6+Q==" saltValue="352228NE5B2BRC6fnHXGK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j64OpwmrrZyCEI4uR7aIeZwAgg/as7tffzbtnvuy/IhmBsXK0wZcucCmEPCO704GdBqtTcYE8X39ZQrzxLwhg==" saltValue="IY5qk7LGCL8peYpVRGBn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6695.9544000000014</v>
      </c>
      <c r="C2" s="49">
        <v>18000</v>
      </c>
      <c r="D2" s="49">
        <v>39000</v>
      </c>
      <c r="E2" s="49">
        <v>42000</v>
      </c>
      <c r="F2" s="49">
        <v>43000</v>
      </c>
      <c r="G2" s="17">
        <f t="shared" ref="G2:G11" si="0">C2+D2+E2+F2</f>
        <v>142000</v>
      </c>
      <c r="H2" s="17">
        <f t="shared" ref="H2:H11" si="1">(B2 + stillbirth*B2/(1000-stillbirth))/(1-abortion)</f>
        <v>7636.3366297995344</v>
      </c>
      <c r="I2" s="17">
        <f t="shared" ref="I2:I11" si="2">G2-H2</f>
        <v>134363.66337020046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6637.6107999999986</v>
      </c>
      <c r="C3" s="50">
        <v>19000</v>
      </c>
      <c r="D3" s="50">
        <v>39000</v>
      </c>
      <c r="E3" s="50">
        <v>42000</v>
      </c>
      <c r="F3" s="50">
        <v>43000</v>
      </c>
      <c r="G3" s="17">
        <f t="shared" si="0"/>
        <v>143000</v>
      </c>
      <c r="H3" s="17">
        <f t="shared" si="1"/>
        <v>7569.7992337571723</v>
      </c>
      <c r="I3" s="17">
        <f t="shared" si="2"/>
        <v>135430.20076624284</v>
      </c>
    </row>
    <row r="4" spans="1:9" ht="15.75" customHeight="1" x14ac:dyDescent="0.2">
      <c r="A4" s="5">
        <f t="shared" si="3"/>
        <v>2023</v>
      </c>
      <c r="B4" s="49">
        <v>6568.6896000000006</v>
      </c>
      <c r="C4" s="50">
        <v>19000</v>
      </c>
      <c r="D4" s="50">
        <v>39000</v>
      </c>
      <c r="E4" s="50">
        <v>41000</v>
      </c>
      <c r="F4" s="50">
        <v>43000</v>
      </c>
      <c r="G4" s="17">
        <f t="shared" si="0"/>
        <v>142000</v>
      </c>
      <c r="H4" s="17">
        <f t="shared" si="1"/>
        <v>7491.1987157892299</v>
      </c>
      <c r="I4" s="17">
        <f t="shared" si="2"/>
        <v>134508.80128421076</v>
      </c>
    </row>
    <row r="5" spans="1:9" ht="15.75" customHeight="1" x14ac:dyDescent="0.2">
      <c r="A5" s="5">
        <f t="shared" si="3"/>
        <v>2024</v>
      </c>
      <c r="B5" s="49">
        <v>6510.439800000001</v>
      </c>
      <c r="C5" s="50">
        <v>19000</v>
      </c>
      <c r="D5" s="50">
        <v>39000</v>
      </c>
      <c r="E5" s="50">
        <v>41000</v>
      </c>
      <c r="F5" s="50">
        <v>43000</v>
      </c>
      <c r="G5" s="17">
        <f t="shared" si="0"/>
        <v>142000</v>
      </c>
      <c r="H5" s="17">
        <f t="shared" si="1"/>
        <v>7424.7682930524061</v>
      </c>
      <c r="I5" s="17">
        <f t="shared" si="2"/>
        <v>134575.23170694758</v>
      </c>
    </row>
    <row r="6" spans="1:9" ht="15.75" customHeight="1" x14ac:dyDescent="0.2">
      <c r="A6" s="5">
        <f t="shared" si="3"/>
        <v>2025</v>
      </c>
      <c r="B6" s="49">
        <v>6452.19</v>
      </c>
      <c r="C6" s="50">
        <v>19000</v>
      </c>
      <c r="D6" s="50">
        <v>37000</v>
      </c>
      <c r="E6" s="50">
        <v>40000</v>
      </c>
      <c r="F6" s="50">
        <v>43000</v>
      </c>
      <c r="G6" s="17">
        <f t="shared" si="0"/>
        <v>139000</v>
      </c>
      <c r="H6" s="17">
        <f t="shared" si="1"/>
        <v>7358.3378703155804</v>
      </c>
      <c r="I6" s="17">
        <f t="shared" si="2"/>
        <v>131641.66212968441</v>
      </c>
    </row>
    <row r="7" spans="1:9" ht="15.75" customHeight="1" x14ac:dyDescent="0.2">
      <c r="A7" s="5">
        <f t="shared" si="3"/>
        <v>2026</v>
      </c>
      <c r="B7" s="49">
        <v>6398.7719999999999</v>
      </c>
      <c r="C7" s="50">
        <v>18000</v>
      </c>
      <c r="D7" s="50">
        <v>37000</v>
      </c>
      <c r="E7" s="50">
        <v>40000</v>
      </c>
      <c r="F7" s="50">
        <v>43000</v>
      </c>
      <c r="G7" s="17">
        <f t="shared" si="0"/>
        <v>138000</v>
      </c>
      <c r="H7" s="17">
        <f t="shared" si="1"/>
        <v>7297.417827298168</v>
      </c>
      <c r="I7" s="17">
        <f t="shared" si="2"/>
        <v>130702.58217270183</v>
      </c>
    </row>
    <row r="8" spans="1:9" ht="15.75" customHeight="1" x14ac:dyDescent="0.2">
      <c r="A8" s="5">
        <f t="shared" si="3"/>
        <v>2027</v>
      </c>
      <c r="B8" s="49">
        <v>6355.7440000000006</v>
      </c>
      <c r="C8" s="50">
        <v>18000</v>
      </c>
      <c r="D8" s="50">
        <v>37000</v>
      </c>
      <c r="E8" s="50">
        <v>40000</v>
      </c>
      <c r="F8" s="50">
        <v>44000</v>
      </c>
      <c r="G8" s="17">
        <f t="shared" si="0"/>
        <v>139000</v>
      </c>
      <c r="H8" s="17">
        <f t="shared" si="1"/>
        <v>7248.3469595952756</v>
      </c>
      <c r="I8" s="17">
        <f t="shared" si="2"/>
        <v>131751.65304040472</v>
      </c>
    </row>
    <row r="9" spans="1:9" ht="15.75" customHeight="1" x14ac:dyDescent="0.2">
      <c r="A9" s="5">
        <f t="shared" si="3"/>
        <v>2028</v>
      </c>
      <c r="B9" s="49">
        <v>6302.5342000000001</v>
      </c>
      <c r="C9" s="50">
        <v>18000</v>
      </c>
      <c r="D9" s="50">
        <v>37000</v>
      </c>
      <c r="E9" s="50">
        <v>40000</v>
      </c>
      <c r="F9" s="50">
        <v>43000</v>
      </c>
      <c r="G9" s="17">
        <f t="shared" si="0"/>
        <v>138000</v>
      </c>
      <c r="H9" s="17">
        <f t="shared" si="1"/>
        <v>7187.6643562602949</v>
      </c>
      <c r="I9" s="17">
        <f t="shared" si="2"/>
        <v>130812.3356437397</v>
      </c>
    </row>
    <row r="10" spans="1:9" ht="15.75" customHeight="1" x14ac:dyDescent="0.2">
      <c r="A10" s="5">
        <f t="shared" si="3"/>
        <v>2029</v>
      </c>
      <c r="B10" s="49">
        <v>6249.4632000000001</v>
      </c>
      <c r="C10" s="50">
        <v>18000</v>
      </c>
      <c r="D10" s="50">
        <v>36000</v>
      </c>
      <c r="E10" s="50">
        <v>40000</v>
      </c>
      <c r="F10" s="50">
        <v>42000</v>
      </c>
      <c r="G10" s="17">
        <f t="shared" si="0"/>
        <v>136000</v>
      </c>
      <c r="H10" s="17">
        <f t="shared" si="1"/>
        <v>7127.1400460469386</v>
      </c>
      <c r="I10" s="17">
        <f t="shared" si="2"/>
        <v>128872.85995395306</v>
      </c>
    </row>
    <row r="11" spans="1:9" ht="15.75" customHeight="1" x14ac:dyDescent="0.2">
      <c r="A11" s="5">
        <f t="shared" si="3"/>
        <v>2030</v>
      </c>
      <c r="B11" s="49">
        <v>6196.5309999999999</v>
      </c>
      <c r="C11" s="50">
        <v>18000</v>
      </c>
      <c r="D11" s="50">
        <v>36000</v>
      </c>
      <c r="E11" s="50">
        <v>39000</v>
      </c>
      <c r="F11" s="50">
        <v>42000</v>
      </c>
      <c r="G11" s="17">
        <f t="shared" si="0"/>
        <v>135000</v>
      </c>
      <c r="H11" s="17">
        <f t="shared" si="1"/>
        <v>7066.7740289552039</v>
      </c>
      <c r="I11" s="17">
        <f t="shared" si="2"/>
        <v>127933.2259710448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fBDhdPIkmzaJrx17Np1Y5bf2pt9kEAwV3WVaJCK14jjMeaqsSYBtMycei1SGxrgnzC6pOOcbUmj1UX0GobmMA==" saltValue="p6tXX1s7GnRrGOV4lKNVc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1Wm7HH16RfjPrQWGzhLo/QEw8qtJyGIuUXxRzJS6Sh3hAwOVv7C4JuRVGtdj4FoQtPYYMTmCbef/mg9iu3U0bg==" saltValue="htJ7X6e+nk92oumU9EoH1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khltlZDUYwRQFsfL2D/3qROiDqt485lSjY4wpB42yOzbVrgI6a1GgQxVaO84Aa2x8eTuXZ69uEQkM3N37lr1fg==" saltValue="Or6GKSur03l12vg6Exwp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Dgn8wHlppuXm1n2dxIKjhhFWBZluYbgnhb6cy4b1QEtt0c3y5//YI/WdidkznmNgeMcdXLwVFZpQBYZI9Auiw==" saltValue="kjkuunToq85es73jYHl5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5J8s0/zGo40b8WUOvDJ3wc5+Mop7xeRVC3Os1WJNGkXpJlgVCboX+fBxhh2MmjJ6tInCF5KFixPj5bslySLDg==" saltValue="UfN4boMiEj2QECCfnt8J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SR/JMA8wfVNbd8qTqu9NlvOO1kqK9i2RZEAYzk9CHwsgg4/DtXbrIcQY6jOADha6px8gUxDbYskuFSCgWjgoQ==" saltValue="YK3O4SjEEGUV0kH5f1Pt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Ay/Um8gahu6QaM3mNJJ4+Z5g8b68UAzl7ENqQ8uIzCYtT9wO2qTYQwNweTgWdQuAyboIoXo5aWxzh27WPtw1g==" saltValue="eG0I7pTE34L1cNsB3xfF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9hPBj4NDYGNAKkqZ3P5vQzXzeUZwq9LXB0oWMUIzStP+AlOV8Uso6hhFE/eUBFBbHVAlKtzQUL4ViqmmUCZMg==" saltValue="R4RT8zIP6YUoiiUzRB5L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7q8yBETMmsujO/OamvGX/Bk6P8SnlzJNPXm+VcoIcL+bXi4to1Hg85vqOiVo9lb6ZsLIDN/14Y58pOL5XzV6A==" saltValue="4I0m0nW9PppiowQWHvc8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BHrj6yqwcwzmMNbNFNxm6c1KnQVFFzG/QASxavtJKp7IsYp5TXbc52b0xQrm/GWVloyUvnjnxE1590nrOnKYw==" saltValue="h1E5WoZiGACn6A/Cu10VX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3.4692830714039037E-2</v>
      </c>
    </row>
    <row r="5" spans="1:8" ht="15.75" customHeight="1" x14ac:dyDescent="0.2">
      <c r="B5" s="19" t="s">
        <v>80</v>
      </c>
      <c r="C5" s="101">
        <v>2.723151130324708E-2</v>
      </c>
    </row>
    <row r="6" spans="1:8" ht="15.75" customHeight="1" x14ac:dyDescent="0.2">
      <c r="B6" s="19" t="s">
        <v>81</v>
      </c>
      <c r="C6" s="101">
        <v>0.48729164784512352</v>
      </c>
    </row>
    <row r="7" spans="1:8" ht="15.75" customHeight="1" x14ac:dyDescent="0.2">
      <c r="B7" s="19" t="s">
        <v>82</v>
      </c>
      <c r="C7" s="101">
        <v>0.36385265265342698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7.7604710544111083E-2</v>
      </c>
    </row>
    <row r="10" spans="1:8" ht="15.75" customHeight="1" x14ac:dyDescent="0.2">
      <c r="B10" s="19" t="s">
        <v>85</v>
      </c>
      <c r="C10" s="101">
        <v>9.3266469400522314E-3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5.8885290395646821E-2</v>
      </c>
      <c r="D15" s="101">
        <v>5.8885290395646821E-2</v>
      </c>
      <c r="E15" s="101">
        <v>5.8885290395646821E-2</v>
      </c>
      <c r="F15" s="101">
        <v>5.8885290395646821E-2</v>
      </c>
    </row>
    <row r="16" spans="1:8" ht="15.75" customHeight="1" x14ac:dyDescent="0.2">
      <c r="B16" s="19" t="s">
        <v>89</v>
      </c>
      <c r="C16" s="101">
        <v>3.0303769659002191E-2</v>
      </c>
      <c r="D16" s="101">
        <v>3.0303769659002191E-2</v>
      </c>
      <c r="E16" s="101">
        <v>3.0303769659002191E-2</v>
      </c>
      <c r="F16" s="101">
        <v>3.0303769659002191E-2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7.689372794893067E-3</v>
      </c>
      <c r="D20" s="101">
        <v>7.689372794893067E-3</v>
      </c>
      <c r="E20" s="101">
        <v>7.689372794893067E-3</v>
      </c>
      <c r="F20" s="101">
        <v>7.689372794893067E-3</v>
      </c>
    </row>
    <row r="21" spans="1:8" ht="15.75" customHeight="1" x14ac:dyDescent="0.2">
      <c r="B21" s="19" t="s">
        <v>94</v>
      </c>
      <c r="C21" s="101">
        <v>5.3674683366254049E-2</v>
      </c>
      <c r="D21" s="101">
        <v>5.3674683366254049E-2</v>
      </c>
      <c r="E21" s="101">
        <v>5.3674683366254049E-2</v>
      </c>
      <c r="F21" s="101">
        <v>5.3674683366254049E-2</v>
      </c>
    </row>
    <row r="22" spans="1:8" ht="15.75" customHeight="1" x14ac:dyDescent="0.2">
      <c r="B22" s="19" t="s">
        <v>95</v>
      </c>
      <c r="C22" s="101">
        <v>0.84944688378420385</v>
      </c>
      <c r="D22" s="101">
        <v>0.84944688378420385</v>
      </c>
      <c r="E22" s="101">
        <v>0.84944688378420385</v>
      </c>
      <c r="F22" s="101">
        <v>0.84944688378420385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4.1039101000000001E-2</v>
      </c>
    </row>
    <row r="27" spans="1:8" ht="15.75" customHeight="1" x14ac:dyDescent="0.2">
      <c r="B27" s="19" t="s">
        <v>102</v>
      </c>
      <c r="C27" s="101">
        <v>0.311955555</v>
      </c>
    </row>
    <row r="28" spans="1:8" ht="15.75" customHeight="1" x14ac:dyDescent="0.2">
      <c r="B28" s="19" t="s">
        <v>103</v>
      </c>
      <c r="C28" s="101">
        <v>7.1433338999999998E-2</v>
      </c>
    </row>
    <row r="29" spans="1:8" ht="15.75" customHeight="1" x14ac:dyDescent="0.2">
      <c r="B29" s="19" t="s">
        <v>104</v>
      </c>
      <c r="C29" s="101">
        <v>8.7817816000000007E-2</v>
      </c>
    </row>
    <row r="30" spans="1:8" ht="15.75" customHeight="1" x14ac:dyDescent="0.2">
      <c r="B30" s="19" t="s">
        <v>2</v>
      </c>
      <c r="C30" s="101">
        <v>4.5304205E-2</v>
      </c>
    </row>
    <row r="31" spans="1:8" ht="15.75" customHeight="1" x14ac:dyDescent="0.2">
      <c r="B31" s="19" t="s">
        <v>105</v>
      </c>
      <c r="C31" s="101">
        <v>6.0519333000000002E-2</v>
      </c>
    </row>
    <row r="32" spans="1:8" ht="15.75" customHeight="1" x14ac:dyDescent="0.2">
      <c r="B32" s="19" t="s">
        <v>106</v>
      </c>
      <c r="C32" s="101">
        <v>0.111584815</v>
      </c>
    </row>
    <row r="33" spans="2:3" ht="15.75" customHeight="1" x14ac:dyDescent="0.2">
      <c r="B33" s="19" t="s">
        <v>107</v>
      </c>
      <c r="C33" s="101">
        <v>0.13530931600000001</v>
      </c>
    </row>
    <row r="34" spans="2:3" ht="15.75" customHeight="1" x14ac:dyDescent="0.2">
      <c r="B34" s="19" t="s">
        <v>108</v>
      </c>
      <c r="C34" s="101">
        <v>0.13503651999999999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e6elU+JUGKcdyApN6blVjEZWicUoBcf5OcZck7tDbRU+uAPS3U3XEYz0ddMr/rmG12OHRApRChL2/1NbpoOahA==" saltValue="YD4fzRAnNU+tBWw4JLQ9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0.73379741337496907</v>
      </c>
      <c r="D2" s="52">
        <f>IFERROR(1-_xlfn.NORM.DIST(_xlfn.NORM.INV(SUM(D4:D5), 0, 1) + 1, 0, 1, TRUE), "")</f>
        <v>0.73379741337496907</v>
      </c>
      <c r="E2" s="52">
        <f>IFERROR(1-_xlfn.NORM.DIST(_xlfn.NORM.INV(SUM(E4:E5), 0, 1) + 1, 0, 1, TRUE), "")</f>
        <v>0.84971383955773083</v>
      </c>
      <c r="F2" s="52">
        <f>IFERROR(1-_xlfn.NORM.DIST(_xlfn.NORM.INV(SUM(F4:F5), 0, 1) + 1, 0, 1, TRUE), "")</f>
        <v>0.51602502879157464</v>
      </c>
      <c r="G2" s="52">
        <f>IFERROR(1-_xlfn.NORM.DIST(_xlfn.NORM.INV(SUM(G4:G5), 0, 1) + 1, 0, 1, TRUE), "")</f>
        <v>0.70998903065232866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0.21405081562503092</v>
      </c>
      <c r="D3" s="52">
        <f>IFERROR(_xlfn.NORM.DIST(_xlfn.NORM.INV(SUM(D4:D5), 0, 1) + 1, 0, 1, TRUE) - SUM(D4:D5), "")</f>
        <v>0.21405081562503092</v>
      </c>
      <c r="E3" s="52">
        <f>IFERROR(_xlfn.NORM.DIST(_xlfn.NORM.INV(SUM(E4:E5), 0, 1) + 1, 0, 1, TRUE) - SUM(E4:E5), "")</f>
        <v>0.12937112834226919</v>
      </c>
      <c r="F3" s="52">
        <f>IFERROR(_xlfn.NORM.DIST(_xlfn.NORM.INV(SUM(F4:F5), 0, 1) + 1, 0, 1, TRUE) - SUM(F4:F5), "")</f>
        <v>0.33484673720842528</v>
      </c>
      <c r="G3" s="52">
        <f>IFERROR(_xlfn.NORM.DIST(_xlfn.NORM.INV(SUM(G4:G5), 0, 1) + 1, 0, 1, TRUE) - SUM(G4:G5), "")</f>
        <v>0.22984151804767133</v>
      </c>
    </row>
    <row r="4" spans="1:15" ht="15.75" customHeight="1" x14ac:dyDescent="0.2">
      <c r="B4" s="5" t="s">
        <v>114</v>
      </c>
      <c r="C4" s="45">
        <v>2.8926113E-2</v>
      </c>
      <c r="D4" s="53">
        <v>2.8926113E-2</v>
      </c>
      <c r="E4" s="53">
        <v>4.0536401000000003E-3</v>
      </c>
      <c r="F4" s="53">
        <v>2.2028604E-2</v>
      </c>
      <c r="G4" s="53">
        <v>5.1829629000000002E-2</v>
      </c>
    </row>
    <row r="5" spans="1:15" ht="15.75" customHeight="1" x14ac:dyDescent="0.2">
      <c r="B5" s="5" t="s">
        <v>115</v>
      </c>
      <c r="C5" s="45">
        <v>2.3225658E-2</v>
      </c>
      <c r="D5" s="53">
        <v>2.3225658E-2</v>
      </c>
      <c r="E5" s="53">
        <v>1.6861391999999999E-2</v>
      </c>
      <c r="F5" s="53">
        <v>0.12709962999999999</v>
      </c>
      <c r="G5" s="53">
        <v>8.3398223000000007E-3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0.62194324952311775</v>
      </c>
      <c r="D8" s="52">
        <f>IFERROR(1-_xlfn.NORM.DIST(_xlfn.NORM.INV(SUM(D10:D11), 0, 1) + 1, 0, 1, TRUE), "")</f>
        <v>0.62194324952311775</v>
      </c>
      <c r="E8" s="52">
        <f>IFERROR(1-_xlfn.NORM.DIST(_xlfn.NORM.INV(SUM(E10:E11), 0, 1) + 1, 0, 1, TRUE), "")</f>
        <v>0.7866898132412119</v>
      </c>
      <c r="F8" s="52">
        <f>IFERROR(1-_xlfn.NORM.DIST(_xlfn.NORM.INV(SUM(F10:F11), 0, 1) + 1, 0, 1, TRUE), "")</f>
        <v>0.91254322146425981</v>
      </c>
      <c r="G8" s="52">
        <f>IFERROR(1-_xlfn.NORM.DIST(_xlfn.NORM.INV(SUM(G10:G11), 0, 1) + 1, 0, 1, TRUE), "")</f>
        <v>0.88141707117627788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0.28305833047688223</v>
      </c>
      <c r="D9" s="52">
        <f>IFERROR(_xlfn.NORM.DIST(_xlfn.NORM.INV(SUM(D10:D11), 0, 1) + 1, 0, 1, TRUE) - SUM(D10:D11), "")</f>
        <v>0.28305833047688223</v>
      </c>
      <c r="E9" s="52">
        <f>IFERROR(_xlfn.NORM.DIST(_xlfn.NORM.INV(SUM(E10:E11), 0, 1) + 1, 0, 1, TRUE) - SUM(E10:E11), "")</f>
        <v>0.17698239575878813</v>
      </c>
      <c r="F9" s="52">
        <f>IFERROR(_xlfn.NORM.DIST(_xlfn.NORM.INV(SUM(F10:F11), 0, 1) + 1, 0, 1, TRUE) - SUM(F10:F11), "")</f>
        <v>7.8234820635740165E-2</v>
      </c>
      <c r="G9" s="52">
        <f>IFERROR(_xlfn.NORM.DIST(_xlfn.NORM.INV(SUM(G10:G11), 0, 1) + 1, 0, 1, TRUE) - SUM(G10:G11), "")</f>
        <v>0.1040318677237221</v>
      </c>
    </row>
    <row r="10" spans="1:15" ht="15.75" customHeight="1" x14ac:dyDescent="0.2">
      <c r="B10" s="5" t="s">
        <v>119</v>
      </c>
      <c r="C10" s="45">
        <v>7.9534253999999999E-2</v>
      </c>
      <c r="D10" s="53">
        <v>7.9534253999999999E-2</v>
      </c>
      <c r="E10" s="53">
        <v>3.6327790999999998E-2</v>
      </c>
      <c r="F10" s="53">
        <v>0</v>
      </c>
      <c r="G10" s="53">
        <v>1.0352793000000001E-2</v>
      </c>
    </row>
    <row r="11" spans="1:15" ht="15.75" customHeight="1" x14ac:dyDescent="0.2">
      <c r="B11" s="5" t="s">
        <v>120</v>
      </c>
      <c r="C11" s="45">
        <v>1.5464166E-2</v>
      </c>
      <c r="D11" s="53">
        <v>1.5464166E-2</v>
      </c>
      <c r="E11" s="53">
        <v>0</v>
      </c>
      <c r="F11" s="53">
        <v>9.2219578999999993E-3</v>
      </c>
      <c r="G11" s="53">
        <v>4.1982681000000003E-3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0.38283535024999998</v>
      </c>
      <c r="D14" s="54">
        <v>0.38541007546400002</v>
      </c>
      <c r="E14" s="54">
        <v>0.38541007546400002</v>
      </c>
      <c r="F14" s="54">
        <v>0.17029895451300001</v>
      </c>
      <c r="G14" s="54">
        <v>0.17029895451300001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0.251</v>
      </c>
      <c r="M14" s="55">
        <v>0.251</v>
      </c>
      <c r="N14" s="55">
        <v>0.251</v>
      </c>
      <c r="O14" s="55">
        <v>0.251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0.23913427318015998</v>
      </c>
      <c r="D15" s="52">
        <f t="shared" si="0"/>
        <v>0.24074254953783297</v>
      </c>
      <c r="E15" s="52">
        <f t="shared" si="0"/>
        <v>0.24074254953783297</v>
      </c>
      <c r="F15" s="52">
        <f t="shared" si="0"/>
        <v>0.10637553894700032</v>
      </c>
      <c r="G15" s="52">
        <f t="shared" si="0"/>
        <v>0.10637553894700032</v>
      </c>
      <c r="H15" s="52">
        <f t="shared" si="0"/>
        <v>0.16990208000000001</v>
      </c>
      <c r="I15" s="52">
        <f t="shared" si="0"/>
        <v>0.16990208000000001</v>
      </c>
      <c r="J15" s="52">
        <f t="shared" si="0"/>
        <v>0.16990208000000001</v>
      </c>
      <c r="K15" s="52">
        <f t="shared" si="0"/>
        <v>0.16990208000000001</v>
      </c>
      <c r="L15" s="52">
        <f t="shared" si="0"/>
        <v>0.15678464</v>
      </c>
      <c r="M15" s="52">
        <f t="shared" si="0"/>
        <v>0.15678464</v>
      </c>
      <c r="N15" s="52">
        <f t="shared" si="0"/>
        <v>0.15678464</v>
      </c>
      <c r="O15" s="52">
        <f t="shared" si="0"/>
        <v>0.15678464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7Tk37M0X6stJuun0UVtuUKR8GSUIUOD2wqr2c6ziDbRuZze3MONXhkQXF6Rw94xg0su05fGBcqYy3M7HUXVZg==" saltValue="9q7FbYaDT4WmHJmYK+4y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0.31399870000000002</v>
      </c>
      <c r="D2" s="53">
        <v>0.17159460000000001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5.1355570000000003E-2</v>
      </c>
      <c r="D3" s="53">
        <v>0.1553949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0.4142324</v>
      </c>
      <c r="D4" s="53">
        <v>0.40510950000000001</v>
      </c>
      <c r="E4" s="53">
        <v>0.44936838746070901</v>
      </c>
      <c r="F4" s="53">
        <v>0.146428138017654</v>
      </c>
      <c r="G4" s="53">
        <v>0</v>
      </c>
    </row>
    <row r="5" spans="1:7" x14ac:dyDescent="0.2">
      <c r="B5" s="3" t="s">
        <v>132</v>
      </c>
      <c r="C5" s="52">
        <v>0.22041330000000001</v>
      </c>
      <c r="D5" s="52">
        <v>0.2679011</v>
      </c>
      <c r="E5" s="52">
        <f>1-SUM(E2:E4)</f>
        <v>0.55063161253929094</v>
      </c>
      <c r="F5" s="52">
        <f>1-SUM(F2:F4)</f>
        <v>0.85357186198234603</v>
      </c>
      <c r="G5" s="52">
        <f>1-SUM(G2:G4)</f>
        <v>1</v>
      </c>
    </row>
  </sheetData>
  <sheetProtection algorithmName="SHA-512" hashValue="BGFGSGj5iRLELexlwjEmqbzHXpPBMOX03D+UqD0yOpiyeFDMJbD7cokekEJTT7ZsHUUs9pzjaGujeg2KFEJ5zw==" saltValue="7XJBfQiv0aTM9gnK1Wzll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bKG0YrMn/rZr80J432IC9gf02GIMmmuJffze+hpnLcT1eijeA8EhxX4ol2Buj2JaoXNcl4rRFAn92mT3gNLIw==" saltValue="+PnSElptF8axoUOjUCq3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MVDFy0qOcNZtVF3UG6GupBnAW2sc2uxGT+IfxVKp0/V0AKZBR1ZQUmww3424DqjxC13xoI/VqBccClgYROHYw==" saltValue="HX1S6IgBsRW6id+f/MVPC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lx5OpaKtKPpKmrzbSPCS2+b5/tHJbNYj0t52iX0SxAxj/M/qIU2mUN3BeJ2Sk54UdyMzDtKg3phhaAocgmuAkQ==" saltValue="jhNUiekoRaBrNWcRNSLd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ArBs+ILJadrA/XNJ9pXhWL7EBaav+d4Q+2Nc+4I+xj0f4J/5gFLM9x1SrHDOzN+60OhsYxHuoJ6h9oYX9MqDA==" saltValue="5g9Cgvh25/gItNTxc1lo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2023-01-27T03:30:31Z</dcterms:modified>
</cp:coreProperties>
</file>