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A7AC56EC-A1BC-4E11-BA51-9CD4525621E0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A24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C33" i="1"/>
  <c r="C20" i="1"/>
  <c r="A15" i="2" l="1"/>
  <c r="A16" i="2"/>
  <c r="A18" i="2"/>
  <c r="A23" i="2"/>
  <c r="A26" i="2"/>
  <c r="A31" i="2"/>
  <c r="A32" i="2"/>
  <c r="A34" i="2"/>
  <c r="A3" i="2"/>
  <c r="A4" i="2" s="1"/>
  <c r="A5" i="2" s="1"/>
  <c r="A6" i="2" s="1"/>
  <c r="A7" i="2" s="1"/>
  <c r="A8" i="2" s="1"/>
  <c r="A9" i="2" s="1"/>
  <c r="A10" i="2" s="1"/>
  <c r="A11" i="2" s="1"/>
  <c r="A39" i="2"/>
  <c r="A17" i="2"/>
  <c r="A25" i="2"/>
  <c r="A33" i="2"/>
  <c r="A19" i="2"/>
  <c r="A27" i="2"/>
  <c r="A35" i="2"/>
  <c r="A28" i="2"/>
  <c r="A12" i="2"/>
  <c r="A20" i="2"/>
  <c r="A36" i="2"/>
  <c r="A13" i="2"/>
  <c r="A21" i="2"/>
  <c r="A29" i="2"/>
  <c r="A37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<sst xmlns="http://schemas.openxmlformats.org/spreadsheetml/2006/main" count="2092" uniqueCount="337">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</sst>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231460.4296875</v>
      </c>
    </row>
    <row r="8" spans="1:3" ht="15" customHeight="1" x14ac:dyDescent="0.2">
      <c r="B8" s="5" t="s">
        <v>19</v>
      </c>
      <c r="C8" s="44">
        <v>1.4999999999999999E-2</v>
      </c>
    </row>
    <row r="9" spans="1:3" ht="15" customHeight="1" x14ac:dyDescent="0.2">
      <c r="B9" s="5" t="s">
        <v>20</v>
      </c>
      <c r="C9" s="45">
        <v>0.97</v>
      </c>
    </row>
    <row r="10" spans="1:3" ht="15" customHeight="1" x14ac:dyDescent="0.2">
      <c r="B10" s="5" t="s">
        <v>21</v>
      </c>
      <c r="C10" s="45">
        <v>0.41391979217529301</v>
      </c>
    </row>
    <row r="11" spans="1:3" ht="15" customHeight="1" x14ac:dyDescent="0.2">
      <c r="B11" s="5" t="s">
        <v>22</v>
      </c>
      <c r="C11" s="45">
        <v>0.7609999999999999</v>
      </c>
    </row>
    <row r="12" spans="1:3" ht="15" customHeight="1" x14ac:dyDescent="0.2">
      <c r="B12" s="5" t="s">
        <v>23</v>
      </c>
      <c r="C12" s="45">
        <v>0.59599999999999997</v>
      </c>
    </row>
    <row r="13" spans="1:3" ht="15" customHeight="1" x14ac:dyDescent="0.2">
      <c r="B13" s="5" t="s">
        <v>24</v>
      </c>
      <c r="C13" s="45">
        <v>0.19400000000000001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0.12809999999999999</v>
      </c>
    </row>
    <row r="24" spans="1:3" ht="15" customHeight="1" x14ac:dyDescent="0.2">
      <c r="B24" s="15" t="s">
        <v>33</v>
      </c>
      <c r="C24" s="45">
        <v>0.52129999999999999</v>
      </c>
    </row>
    <row r="25" spans="1:3" ht="15" customHeight="1" x14ac:dyDescent="0.2">
      <c r="B25" s="15" t="s">
        <v>34</v>
      </c>
      <c r="C25" s="45">
        <v>0.2964</v>
      </c>
    </row>
    <row r="26" spans="1:3" ht="15" customHeight="1" x14ac:dyDescent="0.2">
      <c r="B26" s="15" t="s">
        <v>35</v>
      </c>
      <c r="C26" s="45">
        <v>5.4199999999999998E-2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0.19675086525509</v>
      </c>
    </row>
    <row r="30" spans="1:3" ht="14.25" customHeight="1" x14ac:dyDescent="0.2">
      <c r="B30" s="25" t="s">
        <v>38</v>
      </c>
      <c r="C30" s="99">
        <v>5.4334968835213812E-2</v>
      </c>
    </row>
    <row r="31" spans="1:3" ht="14.25" customHeight="1" x14ac:dyDescent="0.2">
      <c r="B31" s="25" t="s">
        <v>39</v>
      </c>
      <c r="C31" s="99">
        <v>0.12809177283586601</v>
      </c>
    </row>
    <row r="32" spans="1:3" ht="14.25" customHeight="1" x14ac:dyDescent="0.2">
      <c r="B32" s="25" t="s">
        <v>40</v>
      </c>
      <c r="C32" s="99">
        <v>0.62082239307383003</v>
      </c>
    </row>
    <row r="33" spans="1:5" ht="13.15" customHeight="1" x14ac:dyDescent="0.2">
      <c r="B33" s="27" t="s">
        <v>41</v>
      </c>
      <c r="C33" s="48">
        <f>SUM(C29:C32)</f>
        <v>0.99999999999999989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29.005217026656702</v>
      </c>
    </row>
    <row r="38" spans="1:5" ht="15" customHeight="1" x14ac:dyDescent="0.2">
      <c r="B38" s="11" t="s">
        <v>45</v>
      </c>
      <c r="C38" s="43">
        <v>60.412524959319803</v>
      </c>
      <c r="D38" s="12"/>
      <c r="E38" s="13"/>
    </row>
    <row r="39" spans="1:5" ht="15" customHeight="1" x14ac:dyDescent="0.2">
      <c r="B39" s="11" t="s">
        <v>46</v>
      </c>
      <c r="C39" s="43">
        <v>81.846654138467002</v>
      </c>
      <c r="D39" s="12"/>
      <c r="E39" s="12"/>
    </row>
    <row r="40" spans="1:5" ht="15" customHeight="1" x14ac:dyDescent="0.2">
      <c r="B40" s="11" t="s">
        <v>47</v>
      </c>
      <c r="C40" s="100">
        <v>3.01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15.07910517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2.8584999999999999E-3</v>
      </c>
      <c r="D45" s="12"/>
    </row>
    <row r="46" spans="1:5" ht="15.75" customHeight="1" x14ac:dyDescent="0.2">
      <c r="B46" s="11" t="s">
        <v>52</v>
      </c>
      <c r="C46" s="45">
        <v>8.5482000000000002E-2</v>
      </c>
      <c r="D46" s="12"/>
    </row>
    <row r="47" spans="1:5" ht="15.75" customHeight="1" x14ac:dyDescent="0.2">
      <c r="B47" s="11" t="s">
        <v>53</v>
      </c>
      <c r="C47" s="45">
        <v>0.14246629999999999</v>
      </c>
      <c r="D47" s="12"/>
      <c r="E47" s="13"/>
    </row>
    <row r="48" spans="1:5" ht="15" customHeight="1" x14ac:dyDescent="0.2">
      <c r="B48" s="11" t="s">
        <v>54</v>
      </c>
      <c r="C48" s="46">
        <v>0.76919320000000002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0.42923099999999997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0.10321427</v>
      </c>
    </row>
    <row r="63" spans="1:4" ht="15.75" customHeight="1" x14ac:dyDescent="0.2">
      <c r="A63" s="4"/>
    </row>
  </sheetData>
  <sheetProtection algorithmName="SHA-512" hashValue="JWQcc369CBihKaM65+FAOSps3zP1oqRRVkbcBOl8wSg51QnqcqDpK8iQ0fUNLgmtPR/3uy7ZQbmToLZAdGqnnw==" saltValue="cx9WTWbnvL5i3iIeBIGcO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</v>
      </c>
      <c r="C2" s="98">
        <v>0.95</v>
      </c>
      <c r="D2" s="56">
        <v>49.266516263145533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39.683720380903551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277.01994750756228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0.71839098168186444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12.81601982469946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12.81601982469946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12.81601982469946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12.81601982469946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12.81601982469946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12.81601982469946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0.51560582851631831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0.65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6.4276517687842469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6.4276517687842469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</v>
      </c>
      <c r="C21" s="98">
        <v>0.95</v>
      </c>
      <c r="D21" s="56">
        <v>6.3700694345543054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22.013507436034541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4.1567379002909028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</v>
      </c>
      <c r="C27" s="98">
        <v>0.95</v>
      </c>
      <c r="D27" s="56">
        <v>18.37373470672004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0.40400000000000003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93.648037947344875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0.27944402791567008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</v>
      </c>
      <c r="C32" s="98">
        <v>0.95</v>
      </c>
      <c r="D32" s="56">
        <v>1.1023285790628059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0.66312790021524293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0.3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2E-3</v>
      </c>
      <c r="C38" s="98">
        <v>0.95</v>
      </c>
      <c r="D38" s="56">
        <v>4.1510025254524336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0.40699999999999997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JkHzEHQHpBcH1IRyUv1Dhh9Yh2Aga8UKpmdZCe+Wd+Ar96lbK3dnmkKUDPQZMFHKDEtflxlROS1erVexeKRSyA==" saltValue="GTgNqxVR5xzQymjR0AFLT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l+JxXpDKWHUWcwAY4NnUb90F2miQ3GfDBEb3ghBpKg50NG/dhFloBQbvU7gkqhMh0dsnrc22ZCAKGWYvq46Kxg==" saltValue="OBck8vn05zaqL4WNgN6Z6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ghEsqMexZsvfFTUU9dORwj2VgXSF7XbL5IG9004wt8fdYG0+ee/Hiztg57j53cNOQi9OumrYaCk4Sve8lmpS+g==" saltValue="IYMUZxzty0VKTy9qW1iNM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0.19372297874347755</v>
      </c>
      <c r="C3" s="21">
        <f>frac_mam_1_5months * 2.6</f>
        <v>0.19372297874347755</v>
      </c>
      <c r="D3" s="21">
        <f>frac_mam_6_11months * 2.6</f>
        <v>0.27618170427677441</v>
      </c>
      <c r="E3" s="21">
        <f>frac_mam_12_23months * 2.6</f>
        <v>0.22045132160407122</v>
      </c>
      <c r="F3" s="21">
        <f>frac_mam_24_59months * 2.6</f>
        <v>0.12275080651566304</v>
      </c>
    </row>
    <row r="4" spans="1:6" ht="15.75" customHeight="1" x14ac:dyDescent="0.2">
      <c r="A4" s="3" t="s">
        <v>208</v>
      </c>
      <c r="B4" s="21">
        <f>frac_sam_1month * 2.6</f>
        <v>0.12945086201981754</v>
      </c>
      <c r="C4" s="21">
        <f>frac_sam_1_5months * 2.6</f>
        <v>0.12945086201981754</v>
      </c>
      <c r="D4" s="21">
        <f>frac_sam_6_11months * 2.6</f>
        <v>0.14373957704470494</v>
      </c>
      <c r="E4" s="21">
        <f>frac_sam_12_23months * 2.6</f>
        <v>0.11181692882896849</v>
      </c>
      <c r="F4" s="21">
        <f>frac_sam_24_59months * 2.6</f>
        <v>5.4633652019969628E-2</v>
      </c>
    </row>
  </sheetData>
  <sheetProtection algorithmName="SHA-512" hashValue="F5CjjLfsy1Ha7FK/4VEO/wodo8XejjFESjRyO8OPkLz8Jbs4kd0TJUgcG4DgXLLjqEUXKf3IaD/ZFk8O6LF9kw==" saltValue="9m+vxAVa5pZ+uES8+d6l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0.59599999999999997</v>
      </c>
      <c r="E10" s="60">
        <f>IF(ISBLANK(comm_deliv), frac_children_health_facility,1)</f>
        <v>0.59599999999999997</v>
      </c>
      <c r="F10" s="60">
        <f>IF(ISBLANK(comm_deliv), frac_children_health_facility,1)</f>
        <v>0.59599999999999997</v>
      </c>
      <c r="G10" s="60">
        <f>IF(ISBLANK(comm_deliv), frac_children_health_facility,1)</f>
        <v>0.59599999999999997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0.7609999999999999</v>
      </c>
      <c r="I18" s="60">
        <f>frac_PW_health_facility</f>
        <v>0.7609999999999999</v>
      </c>
      <c r="J18" s="60">
        <f>frac_PW_health_facility</f>
        <v>0.7609999999999999</v>
      </c>
      <c r="K18" s="60">
        <f>frac_PW_health_facility</f>
        <v>0.7609999999999999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0.97</v>
      </c>
      <c r="I19" s="60">
        <f>frac_malaria_risk</f>
        <v>0.97</v>
      </c>
      <c r="J19" s="60">
        <f>frac_malaria_risk</f>
        <v>0.97</v>
      </c>
      <c r="K19" s="60">
        <f>frac_malaria_risk</f>
        <v>0.97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0.19400000000000001</v>
      </c>
      <c r="M24" s="60">
        <f>famplan_unmet_need</f>
        <v>0.19400000000000001</v>
      </c>
      <c r="N24" s="60">
        <f>famplan_unmet_need</f>
        <v>0.19400000000000001</v>
      </c>
      <c r="O24" s="60">
        <f>famplan_unmet_need</f>
        <v>0.19400000000000001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0.28902545448875422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0.12386805192375179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0.17318670141220088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0.41391979217529301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0.97</v>
      </c>
      <c r="D34" s="60">
        <f t="shared" si="3"/>
        <v>0.97</v>
      </c>
      <c r="E34" s="60">
        <f t="shared" si="3"/>
        <v>0.97</v>
      </c>
      <c r="F34" s="60">
        <f t="shared" si="3"/>
        <v>0.97</v>
      </c>
      <c r="G34" s="60">
        <f t="shared" si="3"/>
        <v>0.97</v>
      </c>
      <c r="H34" s="60">
        <f t="shared" si="3"/>
        <v>0.97</v>
      </c>
      <c r="I34" s="60">
        <f t="shared" si="3"/>
        <v>0.97</v>
      </c>
      <c r="J34" s="60">
        <f t="shared" si="3"/>
        <v>0.97</v>
      </c>
      <c r="K34" s="60">
        <f t="shared" si="3"/>
        <v>0.97</v>
      </c>
      <c r="L34" s="60">
        <f t="shared" si="3"/>
        <v>0.97</v>
      </c>
      <c r="M34" s="60">
        <f t="shared" si="3"/>
        <v>0.97</v>
      </c>
      <c r="N34" s="60">
        <f t="shared" si="3"/>
        <v>0.97</v>
      </c>
      <c r="O34" s="60">
        <f t="shared" si="3"/>
        <v>0.97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9MLrxqt8y35p1vnzrcnuZGsJa/iZQR/B++pgK0iZEUYQK5rMcBznOmSJIoTCtm+JmtuJjZB9m6Pn7UBG6IHIzQ==" saltValue="Mjmxh5Tl7C1gUZ1sTXhBB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aSMZMuW/C3Ledg2OvN9+cGPpVJfdifWqrjbeR0Wuq1hUfqrjQY+MrH6TViqFfFFJI2O0itfRZTjHpn9NWBZRLA==" saltValue="FEzpSnkeCqFtSECjSsWiY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ipL4332I4pPlkQBulBVbojx2EkMFyq2JChgSp4806Y2lRqmajPDe4E7LcZyunIafp/Z0dqLcMhWy1tJh3FpYKw==" saltValue="syq/mKMXsThGCSxIC8deg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ieC/TB/SDeE2Gcsuees5pSIdBGx23WoKLqBF/QG/vwne8Prnhkdy+h++ggm/2xgb+dKlibHyM6YP49td6raSpg==" saltValue="PHz8E69Fxs5qFQOhcVsO9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eLgEJkk4snhpC3RP4fQPlasWFX0r8ntJ2YE25oDXZ91aWa55kn6qGbUnSs4qb/WSCG46PF/d9GKX0+pRToIfLg==" saltValue="lqTzZSdy6nbaUwVOor8WJ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a5cBSuPJ+uEnh6Xkw/Jna4wbbKX/tHEXA6y4YRu+0i6uR7pxJX6f22I1nVIEbbkU5/d2I0xfkD+XUsQyqEtVDA==" saltValue="oGvJs4W6v6zQA/wdqpzIE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38780.033600000002</v>
      </c>
      <c r="C2" s="49">
        <v>76000</v>
      </c>
      <c r="D2" s="49">
        <v>146000</v>
      </c>
      <c r="E2" s="49">
        <v>119000</v>
      </c>
      <c r="F2" s="49">
        <v>64000</v>
      </c>
      <c r="G2" s="17">
        <f t="shared" ref="G2:G11" si="0">C2+D2+E2+F2</f>
        <v>405000</v>
      </c>
      <c r="H2" s="17">
        <f t="shared" ref="H2:H11" si="1">(B2 + stillbirth*B2/(1000-stillbirth))/(1-abortion)</f>
        <v>44742.902939028725</v>
      </c>
      <c r="I2" s="17">
        <f t="shared" ref="I2:I11" si="2">G2-H2</f>
        <v>360257.09706097125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38664.828399999999</v>
      </c>
      <c r="C3" s="50">
        <v>77000</v>
      </c>
      <c r="D3" s="50">
        <v>145000</v>
      </c>
      <c r="E3" s="50">
        <v>123000</v>
      </c>
      <c r="F3" s="50">
        <v>67000</v>
      </c>
      <c r="G3" s="17">
        <f t="shared" si="0"/>
        <v>412000</v>
      </c>
      <c r="H3" s="17">
        <f t="shared" si="1"/>
        <v>44609.983634862067</v>
      </c>
      <c r="I3" s="17">
        <f t="shared" si="2"/>
        <v>367390.01636513794</v>
      </c>
    </row>
    <row r="4" spans="1:9" ht="15.75" customHeight="1" x14ac:dyDescent="0.2">
      <c r="A4" s="5">
        <f t="shared" si="3"/>
        <v>2023</v>
      </c>
      <c r="B4" s="49">
        <v>38552.716</v>
      </c>
      <c r="C4" s="50">
        <v>79000</v>
      </c>
      <c r="D4" s="50">
        <v>145000</v>
      </c>
      <c r="E4" s="50">
        <v>127000</v>
      </c>
      <c r="F4" s="50">
        <v>70000</v>
      </c>
      <c r="G4" s="17">
        <f t="shared" si="0"/>
        <v>421000</v>
      </c>
      <c r="H4" s="17">
        <f t="shared" si="1"/>
        <v>44480.632683720505</v>
      </c>
      <c r="I4" s="17">
        <f t="shared" si="2"/>
        <v>376519.3673162795</v>
      </c>
    </row>
    <row r="5" spans="1:9" ht="15.75" customHeight="1" x14ac:dyDescent="0.2">
      <c r="A5" s="5">
        <f t="shared" si="3"/>
        <v>2024</v>
      </c>
      <c r="B5" s="49">
        <v>38392.145400000001</v>
      </c>
      <c r="C5" s="50">
        <v>80000</v>
      </c>
      <c r="D5" s="50">
        <v>145000</v>
      </c>
      <c r="E5" s="50">
        <v>130000</v>
      </c>
      <c r="F5" s="50">
        <v>75000</v>
      </c>
      <c r="G5" s="17">
        <f t="shared" si="0"/>
        <v>430000</v>
      </c>
      <c r="H5" s="17">
        <f t="shared" si="1"/>
        <v>44295.372535553397</v>
      </c>
      <c r="I5" s="17">
        <f t="shared" si="2"/>
        <v>385704.62746444659</v>
      </c>
    </row>
    <row r="6" spans="1:9" ht="15.75" customHeight="1" x14ac:dyDescent="0.2">
      <c r="A6" s="5">
        <f t="shared" si="3"/>
        <v>2025</v>
      </c>
      <c r="B6" s="49">
        <v>38184.58</v>
      </c>
      <c r="C6" s="50">
        <v>81000</v>
      </c>
      <c r="D6" s="50">
        <v>146000</v>
      </c>
      <c r="E6" s="50">
        <v>132000</v>
      </c>
      <c r="F6" s="50">
        <v>79000</v>
      </c>
      <c r="G6" s="17">
        <f t="shared" si="0"/>
        <v>438000</v>
      </c>
      <c r="H6" s="17">
        <f t="shared" si="1"/>
        <v>44055.891604683326</v>
      </c>
      <c r="I6" s="17">
        <f t="shared" si="2"/>
        <v>393944.1083953167</v>
      </c>
    </row>
    <row r="7" spans="1:9" ht="15.75" customHeight="1" x14ac:dyDescent="0.2">
      <c r="A7" s="5">
        <f t="shared" si="3"/>
        <v>2026</v>
      </c>
      <c r="B7" s="49">
        <v>38123.217600000004</v>
      </c>
      <c r="C7" s="50">
        <v>83000</v>
      </c>
      <c r="D7" s="50">
        <v>147000</v>
      </c>
      <c r="E7" s="50">
        <v>134000</v>
      </c>
      <c r="F7" s="50">
        <v>83000</v>
      </c>
      <c r="G7" s="17">
        <f t="shared" si="0"/>
        <v>447000</v>
      </c>
      <c r="H7" s="17">
        <f t="shared" si="1"/>
        <v>43985.094040771321</v>
      </c>
      <c r="I7" s="17">
        <f t="shared" si="2"/>
        <v>403014.90595922869</v>
      </c>
    </row>
    <row r="8" spans="1:9" ht="15.75" customHeight="1" x14ac:dyDescent="0.2">
      <c r="A8" s="5">
        <f t="shared" si="3"/>
        <v>2027</v>
      </c>
      <c r="B8" s="49">
        <v>38019.840000000011</v>
      </c>
      <c r="C8" s="50">
        <v>84000</v>
      </c>
      <c r="D8" s="50">
        <v>147000</v>
      </c>
      <c r="E8" s="50">
        <v>135000</v>
      </c>
      <c r="F8" s="50">
        <v>89000</v>
      </c>
      <c r="G8" s="17">
        <f t="shared" si="0"/>
        <v>455000</v>
      </c>
      <c r="H8" s="17">
        <f t="shared" si="1"/>
        <v>43865.820964048929</v>
      </c>
      <c r="I8" s="17">
        <f t="shared" si="2"/>
        <v>411134.17903595109</v>
      </c>
    </row>
    <row r="9" spans="1:9" ht="15.75" customHeight="1" x14ac:dyDescent="0.2">
      <c r="A9" s="5">
        <f t="shared" si="3"/>
        <v>2028</v>
      </c>
      <c r="B9" s="49">
        <v>37899.003200000006</v>
      </c>
      <c r="C9" s="50">
        <v>85000</v>
      </c>
      <c r="D9" s="50">
        <v>148000</v>
      </c>
      <c r="E9" s="50">
        <v>136000</v>
      </c>
      <c r="F9" s="50">
        <v>94000</v>
      </c>
      <c r="G9" s="17">
        <f t="shared" si="0"/>
        <v>463000</v>
      </c>
      <c r="H9" s="17">
        <f t="shared" si="1"/>
        <v>43726.404137605983</v>
      </c>
      <c r="I9" s="17">
        <f t="shared" si="2"/>
        <v>419273.59586239402</v>
      </c>
    </row>
    <row r="10" spans="1:9" ht="15.75" customHeight="1" x14ac:dyDescent="0.2">
      <c r="A10" s="5">
        <f t="shared" si="3"/>
        <v>2029</v>
      </c>
      <c r="B10" s="49">
        <v>37783.676000000007</v>
      </c>
      <c r="C10" s="50">
        <v>86000</v>
      </c>
      <c r="D10" s="50">
        <v>151000</v>
      </c>
      <c r="E10" s="50">
        <v>137000</v>
      </c>
      <c r="F10" s="50">
        <v>98000</v>
      </c>
      <c r="G10" s="17">
        <f t="shared" si="0"/>
        <v>472000</v>
      </c>
      <c r="H10" s="17">
        <f t="shared" si="1"/>
        <v>43593.344074557717</v>
      </c>
      <c r="I10" s="17">
        <f t="shared" si="2"/>
        <v>428406.65592544229</v>
      </c>
    </row>
    <row r="11" spans="1:9" ht="15.75" customHeight="1" x14ac:dyDescent="0.2">
      <c r="A11" s="5">
        <f t="shared" si="3"/>
        <v>2030</v>
      </c>
      <c r="B11" s="49">
        <v>37604.951999999997</v>
      </c>
      <c r="C11" s="50">
        <v>87000</v>
      </c>
      <c r="D11" s="50">
        <v>152000</v>
      </c>
      <c r="E11" s="50">
        <v>137000</v>
      </c>
      <c r="F11" s="50">
        <v>103000</v>
      </c>
      <c r="G11" s="17">
        <f t="shared" si="0"/>
        <v>479000</v>
      </c>
      <c r="H11" s="17">
        <f t="shared" si="1"/>
        <v>43387.139235558418</v>
      </c>
      <c r="I11" s="17">
        <f t="shared" si="2"/>
        <v>435612.8607644416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vMA38uG3EGbpBxJPoJpjcmGl8QsmLzJtYpyMJWhl8C/HXJmzaGAE47ByjAFUWZ7D7uJM0qTgYWyH29Rhx3ejMA==" saltValue="uC++RM3ox3kv3DahLcNfW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WGr16c8+cWPrxsyib8bNKHOW/nj44NmRFKoxjPVhJbfeqoMhwx8xxvcX+4W+su5d9UkZQ/MLETsHIbXs432C3g==" saltValue="YKULBCzbA8OM4XHx6nim7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8bid3SF3nIwbIICU9l0r5qmvtUCmvQf0C/X1yOhJAuCYS83D5cCWx/abbzofh9PFItFFORkZ76y/ziH/IQ6WGQ==" saltValue="q9hISKyoMmldBlDB9xDwN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+IWU1ltCpk6J6YzLEc5PUNZRLa9dY9HO/VgIZKCgKDs9ARoLF/PJa/m+IeLUEIWzfubwDtxzPTgayeBf+nqmUg==" saltValue="B4P2H6/nWs04qtATKTNZ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3r+ZOPSlNeTOTJiRpO8UWi0l2KJYYysFeiOT4Jlx1rrUl2SrHpzgnc+xzIoUPmhfHOx70YiLZZtn9tjlwVLmgg==" saltValue="VFCq1zPJ4kUO/CuQn44IG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jzkGfZaOnmDOjug0bY3Zc9rOiV8Ksl8x7a7WhBHePCWRzorl0q8ZuD5AKsn9E5REMojNS6P1x1TQsWj4mzfDZA==" saltValue="a5lgkK4meqfVSn3MmZv8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8nM1l7bQn2P93yNWMtSrUZmcLm+YtmiYKyJb5sU9gi8jdtKr6zZAfnZLGHpCRp5MN8i7txNzCk1ZTKhossXVSg==" saltValue="nm4T3ga1y+U62BNpwCnm3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EfkRuSWNN33KHZlPrZXX3sGIWT4gLhKwgy7K54r33l0icEPGrI9cSc05mBYDvHu5eeVe3yC1fKfGI45wcMrNWw==" saltValue="BnYZ72bSviu4iyCX32otg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uT740+nJuUQrugCqiJj+dEG0y9X6hgtKvrqZitUiXylWPprNpxGJ7LLYh21LzvPCSXS00+B6pRweu/nouuBoSQ==" saltValue="S8A3Y16rAFutSl9dOuXyE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5d2uOKurPM3a+7eLnHGw1UEhJwsByqWPT8Fy1nDIpbPeRb2J1OpKjwwQ2u7VhAw92aaRNcdI8ZXwIYphnubQAA==" saltValue="9jDzAeZJFsEz5O9v19MTp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1.0024559256756931E-2</v>
      </c>
    </row>
    <row r="4" spans="1:8" ht="15.75" customHeight="1" x14ac:dyDescent="0.2">
      <c r="B4" s="19" t="s">
        <v>79</v>
      </c>
      <c r="C4" s="101">
        <v>9.6679763631924334E-2</v>
      </c>
    </row>
    <row r="5" spans="1:8" ht="15.75" customHeight="1" x14ac:dyDescent="0.2">
      <c r="B5" s="19" t="s">
        <v>80</v>
      </c>
      <c r="C5" s="101">
        <v>7.2481780052522038E-2</v>
      </c>
    </row>
    <row r="6" spans="1:8" ht="15.75" customHeight="1" x14ac:dyDescent="0.2">
      <c r="B6" s="19" t="s">
        <v>81</v>
      </c>
      <c r="C6" s="101">
        <v>0.3070462971818726</v>
      </c>
    </row>
    <row r="7" spans="1:8" ht="15.75" customHeight="1" x14ac:dyDescent="0.2">
      <c r="B7" s="19" t="s">
        <v>82</v>
      </c>
      <c r="C7" s="101">
        <v>0.31418211522061812</v>
      </c>
    </row>
    <row r="8" spans="1:8" ht="15.75" customHeight="1" x14ac:dyDescent="0.2">
      <c r="B8" s="19" t="s">
        <v>83</v>
      </c>
      <c r="C8" s="101">
        <v>1.5948282635923398E-2</v>
      </c>
    </row>
    <row r="9" spans="1:8" ht="15.75" customHeight="1" x14ac:dyDescent="0.2">
      <c r="B9" s="19" t="s">
        <v>84</v>
      </c>
      <c r="C9" s="101">
        <v>7.9035157105624143E-2</v>
      </c>
    </row>
    <row r="10" spans="1:8" ht="15.75" customHeight="1" x14ac:dyDescent="0.2">
      <c r="B10" s="19" t="s">
        <v>85</v>
      </c>
      <c r="C10" s="101">
        <v>0.1046020449147585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9.1111232777895484E-2</v>
      </c>
      <c r="D14" s="55">
        <v>9.1111232777895484E-2</v>
      </c>
      <c r="E14" s="55">
        <v>9.1111232777895484E-2</v>
      </c>
      <c r="F14" s="55">
        <v>9.1111232777895484E-2</v>
      </c>
    </row>
    <row r="15" spans="1:8" ht="15.75" customHeight="1" x14ac:dyDescent="0.2">
      <c r="B15" s="19" t="s">
        <v>88</v>
      </c>
      <c r="C15" s="101">
        <v>0.17194216291273609</v>
      </c>
      <c r="D15" s="101">
        <v>0.17194216291273609</v>
      </c>
      <c r="E15" s="101">
        <v>0.17194216291273609</v>
      </c>
      <c r="F15" s="101">
        <v>0.17194216291273609</v>
      </c>
    </row>
    <row r="16" spans="1:8" ht="15.75" customHeight="1" x14ac:dyDescent="0.2">
      <c r="B16" s="19" t="s">
        <v>89</v>
      </c>
      <c r="C16" s="101">
        <v>1.4374290667594139E-2</v>
      </c>
      <c r="D16" s="101">
        <v>1.4374290667594139E-2</v>
      </c>
      <c r="E16" s="101">
        <v>1.4374290667594139E-2</v>
      </c>
      <c r="F16" s="101">
        <v>1.4374290667594139E-2</v>
      </c>
    </row>
    <row r="17" spans="1:8" ht="15.75" customHeight="1" x14ac:dyDescent="0.2">
      <c r="B17" s="19" t="s">
        <v>90</v>
      </c>
      <c r="C17" s="101">
        <v>2.9555080536016218E-2</v>
      </c>
      <c r="D17" s="101">
        <v>2.9555080536016218E-2</v>
      </c>
      <c r="E17" s="101">
        <v>2.9555080536016218E-2</v>
      </c>
      <c r="F17" s="101">
        <v>2.9555080536016218E-2</v>
      </c>
    </row>
    <row r="18" spans="1:8" ht="15.75" customHeight="1" x14ac:dyDescent="0.2">
      <c r="B18" s="19" t="s">
        <v>91</v>
      </c>
      <c r="C18" s="101">
        <v>0.222992071987067</v>
      </c>
      <c r="D18" s="101">
        <v>0.222992071987067</v>
      </c>
      <c r="E18" s="101">
        <v>0.222992071987067</v>
      </c>
      <c r="F18" s="101">
        <v>0.222992071987067</v>
      </c>
    </row>
    <row r="19" spans="1:8" ht="15.75" customHeight="1" x14ac:dyDescent="0.2">
      <c r="B19" s="19" t="s">
        <v>92</v>
      </c>
      <c r="C19" s="101">
        <v>1.7035585034982689E-2</v>
      </c>
      <c r="D19" s="101">
        <v>1.7035585034982689E-2</v>
      </c>
      <c r="E19" s="101">
        <v>1.7035585034982689E-2</v>
      </c>
      <c r="F19" s="101">
        <v>1.7035585034982689E-2</v>
      </c>
    </row>
    <row r="20" spans="1:8" ht="15.75" customHeight="1" x14ac:dyDescent="0.2">
      <c r="B20" s="19" t="s">
        <v>93</v>
      </c>
      <c r="C20" s="101">
        <v>0.20432411553854371</v>
      </c>
      <c r="D20" s="101">
        <v>0.20432411553854371</v>
      </c>
      <c r="E20" s="101">
        <v>0.20432411553854371</v>
      </c>
      <c r="F20" s="101">
        <v>0.20432411553854371</v>
      </c>
    </row>
    <row r="21" spans="1:8" ht="15.75" customHeight="1" x14ac:dyDescent="0.2">
      <c r="B21" s="19" t="s">
        <v>94</v>
      </c>
      <c r="C21" s="101">
        <v>4.9826246991009251E-2</v>
      </c>
      <c r="D21" s="101">
        <v>4.9826246991009251E-2</v>
      </c>
      <c r="E21" s="101">
        <v>4.9826246991009251E-2</v>
      </c>
      <c r="F21" s="101">
        <v>4.9826246991009251E-2</v>
      </c>
    </row>
    <row r="22" spans="1:8" ht="15.75" customHeight="1" x14ac:dyDescent="0.2">
      <c r="B22" s="19" t="s">
        <v>95</v>
      </c>
      <c r="C22" s="101">
        <v>0.19883921355415549</v>
      </c>
      <c r="D22" s="101">
        <v>0.19883921355415549</v>
      </c>
      <c r="E22" s="101">
        <v>0.19883921355415549</v>
      </c>
      <c r="F22" s="101">
        <v>0.19883921355415549</v>
      </c>
    </row>
    <row r="23" spans="1:8" ht="15.75" customHeight="1" x14ac:dyDescent="0.2">
      <c r="B23" s="27" t="s">
        <v>41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8.6943652999999996E-2</v>
      </c>
    </row>
    <row r="27" spans="1:8" ht="15.75" customHeight="1" x14ac:dyDescent="0.2">
      <c r="B27" s="19" t="s">
        <v>102</v>
      </c>
      <c r="C27" s="101">
        <v>8.5220880000000006E-3</v>
      </c>
    </row>
    <row r="28" spans="1:8" ht="15.75" customHeight="1" x14ac:dyDescent="0.2">
      <c r="B28" s="19" t="s">
        <v>103</v>
      </c>
      <c r="C28" s="101">
        <v>0.152896541</v>
      </c>
    </row>
    <row r="29" spans="1:8" ht="15.75" customHeight="1" x14ac:dyDescent="0.2">
      <c r="B29" s="19" t="s">
        <v>104</v>
      </c>
      <c r="C29" s="101">
        <v>0.16599547100000001</v>
      </c>
    </row>
    <row r="30" spans="1:8" ht="15.75" customHeight="1" x14ac:dyDescent="0.2">
      <c r="B30" s="19" t="s">
        <v>2</v>
      </c>
      <c r="C30" s="101">
        <v>0.10566703099999999</v>
      </c>
    </row>
    <row r="31" spans="1:8" ht="15.75" customHeight="1" x14ac:dyDescent="0.2">
      <c r="B31" s="19" t="s">
        <v>105</v>
      </c>
      <c r="C31" s="101">
        <v>0.108493031</v>
      </c>
    </row>
    <row r="32" spans="1:8" ht="15.75" customHeight="1" x14ac:dyDescent="0.2">
      <c r="B32" s="19" t="s">
        <v>106</v>
      </c>
      <c r="C32" s="101">
        <v>1.8539073999999999E-2</v>
      </c>
    </row>
    <row r="33" spans="2:3" ht="15.75" customHeight="1" x14ac:dyDescent="0.2">
      <c r="B33" s="19" t="s">
        <v>107</v>
      </c>
      <c r="C33" s="101">
        <v>8.3873541999999995E-2</v>
      </c>
    </row>
    <row r="34" spans="2:3" ht="15.75" customHeight="1" x14ac:dyDescent="0.2">
      <c r="B34" s="19" t="s">
        <v>108</v>
      </c>
      <c r="C34" s="101">
        <v>0.26906956999999998</v>
      </c>
    </row>
    <row r="35" spans="2:3" ht="15.75" customHeight="1" x14ac:dyDescent="0.2">
      <c r="B35" s="27" t="s">
        <v>41</v>
      </c>
      <c r="C35" s="48">
        <f>SUM(C26:C34)</f>
        <v>1.0000000009999999</v>
      </c>
    </row>
  </sheetData>
  <sheetProtection algorithmName="SHA-512" hashValue="kBR70klMFcGOxryYJaaOZCU2WNvzOHocmGypKEGH2GIqo+J+ijSCKwbcVdDiXHK+VQEknstM7vD6r6ikEhlFHA==" saltValue="2ilrVUPRCxpz3EWKY2KT/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0.51176168394192467</v>
      </c>
      <c r="D2" s="52">
        <f>IFERROR(1-_xlfn.NORM.DIST(_xlfn.NORM.INV(SUM(D4:D5), 0, 1) + 1, 0, 1, TRUE), "")</f>
        <v>0.51176168394192467</v>
      </c>
      <c r="E2" s="52">
        <f>IFERROR(1-_xlfn.NORM.DIST(_xlfn.NORM.INV(SUM(E4:E5), 0, 1) + 1, 0, 1, TRUE), "")</f>
        <v>0.45681791986706566</v>
      </c>
      <c r="F2" s="52">
        <f>IFERROR(1-_xlfn.NORM.DIST(_xlfn.NORM.INV(SUM(F4:F5), 0, 1) + 1, 0, 1, TRUE), "")</f>
        <v>0.26981463829626573</v>
      </c>
      <c r="G2" s="52">
        <f>IFERROR(1-_xlfn.NORM.DIST(_xlfn.NORM.INV(SUM(G4:G5), 0, 1) + 1, 0, 1, TRUE), "")</f>
        <v>0.24211129681004595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0.33661274221110715</v>
      </c>
      <c r="D3" s="52">
        <f>IFERROR(_xlfn.NORM.DIST(_xlfn.NORM.INV(SUM(D4:D5), 0, 1) + 1, 0, 1, TRUE) - SUM(D4:D5), "")</f>
        <v>0.33661274221110715</v>
      </c>
      <c r="E3" s="52">
        <f>IFERROR(_xlfn.NORM.DIST(_xlfn.NORM.INV(SUM(E4:E5), 0, 1) + 1, 0, 1, TRUE) - SUM(E4:E5), "")</f>
        <v>0.35686400945506846</v>
      </c>
      <c r="F3" s="52">
        <f>IFERROR(_xlfn.NORM.DIST(_xlfn.NORM.INV(SUM(F4:F5), 0, 1) + 1, 0, 1, TRUE) - SUM(F4:F5), "")</f>
        <v>0.38066892199807328</v>
      </c>
      <c r="G3" s="52">
        <f>IFERROR(_xlfn.NORM.DIST(_xlfn.NORM.INV(SUM(G4:G5), 0, 1) + 1, 0, 1, TRUE) - SUM(G4:G5), "")</f>
        <v>0.37598041626208606</v>
      </c>
    </row>
    <row r="4" spans="1:15" ht="15.75" customHeight="1" x14ac:dyDescent="0.2">
      <c r="B4" s="5" t="s">
        <v>114</v>
      </c>
      <c r="C4" s="45">
        <v>8.58190532050008E-2</v>
      </c>
      <c r="D4" s="53">
        <v>8.58190532050008E-2</v>
      </c>
      <c r="E4" s="53">
        <v>0.10849992686993</v>
      </c>
      <c r="F4" s="53">
        <v>0.196529120835613</v>
      </c>
      <c r="G4" s="53">
        <v>0.203917682529314</v>
      </c>
    </row>
    <row r="5" spans="1:15" ht="15.75" customHeight="1" x14ac:dyDescent="0.2">
      <c r="B5" s="5" t="s">
        <v>115</v>
      </c>
      <c r="C5" s="45">
        <v>6.5806520641967403E-2</v>
      </c>
      <c r="D5" s="53">
        <v>6.5806520641967403E-2</v>
      </c>
      <c r="E5" s="53">
        <v>7.7818143807935905E-2</v>
      </c>
      <c r="F5" s="53">
        <v>0.15298731887004799</v>
      </c>
      <c r="G5" s="53">
        <v>0.17799060439855399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0.5611037003185233</v>
      </c>
      <c r="D8" s="52">
        <f>IFERROR(1-_xlfn.NORM.DIST(_xlfn.NORM.INV(SUM(D10:D11), 0, 1) + 1, 0, 1, TRUE), "")</f>
        <v>0.5611037003185233</v>
      </c>
      <c r="E8" s="52">
        <f>IFERROR(1-_xlfn.NORM.DIST(_xlfn.NORM.INV(SUM(E10:E11), 0, 1) + 1, 0, 1, TRUE), "")</f>
        <v>0.49532382510254602</v>
      </c>
      <c r="F8" s="52">
        <f>IFERROR(1-_xlfn.NORM.DIST(_xlfn.NORM.INV(SUM(F10:F11), 0, 1) + 1, 0, 1, TRUE), "")</f>
        <v>0.55443480549473745</v>
      </c>
      <c r="G8" s="52">
        <f>IFERROR(1-_xlfn.NORM.DIST(_xlfn.NORM.INV(SUM(G10:G11), 0, 1) + 1, 0, 1, TRUE), "")</f>
        <v>0.68762994887632833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0.31459866861867092</v>
      </c>
      <c r="D9" s="52">
        <f>IFERROR(_xlfn.NORM.DIST(_xlfn.NORM.INV(SUM(D10:D11), 0, 1) + 1, 0, 1, TRUE) - SUM(D10:D11), "")</f>
        <v>0.31459866861867092</v>
      </c>
      <c r="E9" s="52">
        <f>IFERROR(_xlfn.NORM.DIST(_xlfn.NORM.INV(SUM(E10:E11), 0, 1) + 1, 0, 1, TRUE) - SUM(E10:E11), "")</f>
        <v>0.34316798977380808</v>
      </c>
      <c r="F9" s="52">
        <f>IFERROR(_xlfn.NORM.DIST(_xlfn.NORM.INV(SUM(F10:F11), 0, 1) + 1, 0, 1, TRUE) - SUM(F10:F11), "")</f>
        <v>0.31776971356947803</v>
      </c>
      <c r="G9" s="52">
        <f>IFERROR(_xlfn.NORM.DIST(_xlfn.NORM.INV(SUM(G10:G11), 0, 1) + 1, 0, 1, TRUE) - SUM(G10:G11), "")</f>
        <v>0.24414525937919757</v>
      </c>
    </row>
    <row r="10" spans="1:15" ht="15.75" customHeight="1" x14ac:dyDescent="0.2">
      <c r="B10" s="5" t="s">
        <v>119</v>
      </c>
      <c r="C10" s="45">
        <v>7.4508837978260592E-2</v>
      </c>
      <c r="D10" s="53">
        <v>7.4508837978260592E-2</v>
      </c>
      <c r="E10" s="53">
        <v>0.106223732414144</v>
      </c>
      <c r="F10" s="53">
        <v>8.4788969847719692E-2</v>
      </c>
      <c r="G10" s="53">
        <v>4.7211848659870402E-2</v>
      </c>
    </row>
    <row r="11" spans="1:15" ht="15.75" customHeight="1" x14ac:dyDescent="0.2">
      <c r="B11" s="5" t="s">
        <v>120</v>
      </c>
      <c r="C11" s="45">
        <v>4.9788793084545202E-2</v>
      </c>
      <c r="D11" s="53">
        <v>4.9788793084545202E-2</v>
      </c>
      <c r="E11" s="53">
        <v>5.5284452709501899E-2</v>
      </c>
      <c r="F11" s="53">
        <v>4.3006511088064803E-2</v>
      </c>
      <c r="G11" s="53">
        <v>2.1012943084603702E-2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0.69576059900000009</v>
      </c>
      <c r="D14" s="54">
        <v>0.66532394163700004</v>
      </c>
      <c r="E14" s="54">
        <v>0.66532394163700004</v>
      </c>
      <c r="F14" s="54">
        <v>0.35589304969399999</v>
      </c>
      <c r="G14" s="54">
        <v>0.35589304969399999</v>
      </c>
      <c r="H14" s="45">
        <v>0.52100000000000002</v>
      </c>
      <c r="I14" s="55">
        <v>0.52100000000000002</v>
      </c>
      <c r="J14" s="55">
        <v>0.52100000000000002</v>
      </c>
      <c r="K14" s="55">
        <v>0.52100000000000002</v>
      </c>
      <c r="L14" s="45">
        <v>0.42799999999999999</v>
      </c>
      <c r="M14" s="55">
        <v>0.42799999999999999</v>
      </c>
      <c r="N14" s="55">
        <v>0.42799999999999999</v>
      </c>
      <c r="O14" s="55">
        <v>0.42799999999999999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0.29864201766936904</v>
      </c>
      <c r="D15" s="52">
        <f t="shared" si="0"/>
        <v>0.28557766079279112</v>
      </c>
      <c r="E15" s="52">
        <f t="shared" si="0"/>
        <v>0.28557766079279112</v>
      </c>
      <c r="F15" s="52">
        <f t="shared" si="0"/>
        <v>0.15276032961320529</v>
      </c>
      <c r="G15" s="52">
        <f t="shared" si="0"/>
        <v>0.15276032961320529</v>
      </c>
      <c r="H15" s="52">
        <f t="shared" si="0"/>
        <v>0.223629351</v>
      </c>
      <c r="I15" s="52">
        <f t="shared" si="0"/>
        <v>0.223629351</v>
      </c>
      <c r="J15" s="52">
        <f t="shared" si="0"/>
        <v>0.223629351</v>
      </c>
      <c r="K15" s="52">
        <f t="shared" si="0"/>
        <v>0.223629351</v>
      </c>
      <c r="L15" s="52">
        <f t="shared" si="0"/>
        <v>0.18371086799999997</v>
      </c>
      <c r="M15" s="52">
        <f t="shared" si="0"/>
        <v>0.18371086799999997</v>
      </c>
      <c r="N15" s="52">
        <f t="shared" si="0"/>
        <v>0.18371086799999997</v>
      </c>
      <c r="O15" s="52">
        <f t="shared" si="0"/>
        <v>0.18371086799999997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x1xXk+p4Yd7SbMz7TNC2EDpFTKrA/wrUzOYSYug8h44P/7Dfs29IHj+C8G96YE3t4iSj8sq3xCObEXbKj9q6pw==" saltValue="6Behx8M8GbbFl+R8ANAAe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0.45592287297741801</v>
      </c>
      <c r="D2" s="53">
        <v>0.280937540715686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0.39208534616123702</v>
      </c>
      <c r="D3" s="53">
        <v>0.41964019980392198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0.119288975244239</v>
      </c>
      <c r="D4" s="53">
        <v>0.26842458431372501</v>
      </c>
      <c r="E4" s="53">
        <v>0.95333877377126397</v>
      </c>
      <c r="F4" s="53">
        <v>0.71441323901044895</v>
      </c>
      <c r="G4" s="53">
        <v>0</v>
      </c>
    </row>
    <row r="5" spans="1:7" x14ac:dyDescent="0.2">
      <c r="B5" s="3" t="s">
        <v>132</v>
      </c>
      <c r="C5" s="52">
        <v>3.2742075871431603E-2</v>
      </c>
      <c r="D5" s="52">
        <v>3.0851552402768E-2</v>
      </c>
      <c r="E5" s="52">
        <f>1-SUM(E2:E4)</f>
        <v>4.666122622873603E-2</v>
      </c>
      <c r="F5" s="52">
        <f>1-SUM(F2:F4)</f>
        <v>0.28558676098955105</v>
      </c>
      <c r="G5" s="52">
        <f>1-SUM(G2:G4)</f>
        <v>1</v>
      </c>
    </row>
  </sheetData>
  <sheetProtection algorithmName="SHA-512" hashValue="VrI8jgbFfVeZrhzSfu4zkwQsVnHg3FD0JgzI37qYz6UoYKz3BDRH6JoEcrcv8pCyDaELPfSQ5iMGnd0G1tKrMA==" saltValue="5m5iY94EXzRnJ4Nj69dZ4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i8G2fonvxrSH83+MbC7UhLVEQDa+PgZWy6nNRASc5SO5/4KySDQOdeDlmtQPAIwKZMQDDBWYYmD2CNHzTS6tDg==" saltValue="PZi14MB9W5cPq9az2zFlR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Jizg/axkY3YCDcxCvRslox6iliK2jmmLTPYx9f0fRO3f6C5fOCsXjl6izqT4+JNx8tlYShvbdabwNH2GO8VYWg==" saltValue="uoCZTMALd7nImbEkuZP2E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tzRcNDDGKgav1I8mHUInnA85qkx0Xq15CHpSbjTpSBDnJQngXAgB3xe/PaKSzXaBHB5o3PQub3Db8hjxwPSRFw==" saltValue="BfMvfd8ZUTHktKNgLlS8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iUALs4ytWXOJNKkqmTn6zM6m6VQNSxzKzPER/iM2UHlrSBD8SVlXOL+A0VCM/I96FirgPmGAZNMxH83kPzwTfA==" saltValue="8mTIzyFifSrgPzDKTe5HM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2023-01-27T03:42:56Z</dcterms:modified>
</cp:coreProperties>
</file>