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Pes 2020 base\"/>
    </mc:Choice>
  </mc:AlternateContent>
  <xr:revisionPtr revIDLastSave="0" documentId="8_{AC571372-FDE2-4C15-8E95-9AB08C38504E}" xr6:coauthVersionLast="45" xr6:coauthVersionMax="45" xr10:uidLastSave="{00000000-0000-0000-0000-000000000000}"/>
  <bookViews>
    <workbookView xWindow="-108" yWindow="-108" windowWidth="23256" windowHeight="12576" tabRatio="961" firstSheet="6" activeTab="9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Programs impacted population" sheetId="62" r:id="rId11"/>
    <sheet name="Reference programs" sheetId="59" r:id="rId12"/>
    <sheet name="Incidence of conditions" sheetId="7" state="hidden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C19" i="56" l="1"/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<sst xmlns="http://schemas.openxmlformats.org/spreadsheetml/2006/main" count="1114" uniqueCount="272">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</sst>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zoomScaleNormal="100" workbookViewId="0">
      <selection activeCell="C4" sqref="C4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2020</v>
      </c>
    </row>
    <row r="4" spans="1:3" ht="16.05" customHeight="1" x14ac:dyDescent="0.25">
      <c r="A4" s="1"/>
      <c r="B4" s="9" t="s">
        <v>194</v>
      </c>
      <c r="C4" s="73">
        <v>2022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887066</v>
      </c>
    </row>
    <row r="8" spans="1:3" ht="15" customHeight="1" x14ac:dyDescent="0.25">
      <c r="B8" s="7" t="s">
        <v>106</v>
      </c>
      <c r="C8" s="66">
        <v>5.0000000000000001E-3</v>
      </c>
    </row>
    <row r="9" spans="1:3" ht="15" customHeight="1" x14ac:dyDescent="0.25">
      <c r="B9" s="9" t="s">
        <v>107</v>
      </c>
      <c r="C9" s="67">
        <v>5.0000000000000001E-3</v>
      </c>
    </row>
    <row r="10" spans="1:3" ht="15" customHeight="1" x14ac:dyDescent="0.25">
      <c r="B10" s="9" t="s">
        <v>105</v>
      </c>
      <c r="C10" s="67">
        <v>0.91188728330000002</v>
      </c>
    </row>
    <row r="11" spans="1:3" ht="15" customHeight="1" x14ac:dyDescent="0.25">
      <c r="B11" s="7" t="s">
        <v>108</v>
      </c>
      <c r="C11" s="66">
        <v>0.66099999999999992</v>
      </c>
    </row>
    <row r="12" spans="1:3" ht="15" customHeight="1" x14ac:dyDescent="0.25">
      <c r="B12" s="7" t="s">
        <v>109</v>
      </c>
      <c r="C12" s="66">
        <v>0.32500000000000001</v>
      </c>
    </row>
    <row r="13" spans="1:3" ht="15" customHeight="1" x14ac:dyDescent="0.25">
      <c r="B13" s="7" t="s">
        <v>110</v>
      </c>
      <c r="C13" s="66">
        <v>0.249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0.1489</v>
      </c>
    </row>
    <row r="24" spans="1:3" ht="15" customHeight="1" x14ac:dyDescent="0.25">
      <c r="B24" s="20" t="s">
        <v>102</v>
      </c>
      <c r="C24" s="67">
        <v>0.65529999999999999</v>
      </c>
    </row>
    <row r="25" spans="1:3" ht="15" customHeight="1" x14ac:dyDescent="0.25">
      <c r="B25" s="20" t="s">
        <v>103</v>
      </c>
      <c r="C25" s="67">
        <v>0.1857</v>
      </c>
    </row>
    <row r="26" spans="1:3" ht="15" customHeight="1" x14ac:dyDescent="0.25">
      <c r="B26" s="20" t="s">
        <v>104</v>
      </c>
      <c r="C26" s="67">
        <v>1.01E-2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0.44</v>
      </c>
    </row>
    <row r="30" spans="1:3" ht="14.25" customHeight="1" x14ac:dyDescent="0.25">
      <c r="B30" s="30" t="s">
        <v>76</v>
      </c>
      <c r="C30" s="69">
        <v>0.10199999999999999</v>
      </c>
    </row>
    <row r="31" spans="1:3" ht="14.25" customHeight="1" x14ac:dyDescent="0.25">
      <c r="B31" s="30" t="s">
        <v>77</v>
      </c>
      <c r="C31" s="69">
        <v>0.115</v>
      </c>
    </row>
    <row r="32" spans="1:3" ht="14.25" customHeight="1" x14ac:dyDescent="0.25">
      <c r="B32" s="30" t="s">
        <v>78</v>
      </c>
      <c r="C32" s="69">
        <v>0.34299999999999997</v>
      </c>
    </row>
    <row r="33" spans="1:5" ht="13.2" x14ac:dyDescent="0.25">
      <c r="B33" s="32" t="s">
        <v>129</v>
      </c>
      <c r="C33" s="91">
        <f>SUM(C29:C32)</f>
        <v>1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11.8</v>
      </c>
    </row>
    <row r="38" spans="1:5" ht="15" customHeight="1" x14ac:dyDescent="0.25">
      <c r="B38" s="16" t="s">
        <v>91</v>
      </c>
      <c r="C38" s="68">
        <v>20.5</v>
      </c>
      <c r="D38" s="17"/>
      <c r="E38" s="18"/>
    </row>
    <row r="39" spans="1:5" ht="15" customHeight="1" x14ac:dyDescent="0.25">
      <c r="B39" s="16" t="s">
        <v>90</v>
      </c>
      <c r="C39" s="68">
        <v>23</v>
      </c>
      <c r="D39" s="17"/>
      <c r="E39" s="17"/>
    </row>
    <row r="40" spans="1:5" ht="15" customHeight="1" x14ac:dyDescent="0.25">
      <c r="B40" s="16" t="s">
        <v>171</v>
      </c>
      <c r="C40" s="68">
        <v>0.25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16.5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1.8870000000000001E-2</v>
      </c>
      <c r="D45" s="17"/>
    </row>
    <row r="46" spans="1:5" ht="15.75" customHeight="1" x14ac:dyDescent="0.25">
      <c r="B46" s="16" t="s">
        <v>11</v>
      </c>
      <c r="C46" s="67">
        <v>6.5860000000000002E-2</v>
      </c>
      <c r="D46" s="17"/>
    </row>
    <row r="47" spans="1:5" ht="15.75" customHeight="1" x14ac:dyDescent="0.25">
      <c r="B47" s="16" t="s">
        <v>12</v>
      </c>
      <c r="C47" s="67">
        <v>0.14324999999999999</v>
      </c>
      <c r="D47" s="17"/>
      <c r="E47" s="18"/>
    </row>
    <row r="48" spans="1:5" ht="15" customHeight="1" x14ac:dyDescent="0.25">
      <c r="B48" s="16" t="s">
        <v>26</v>
      </c>
      <c r="C48" s="70">
        <f>1-term_SGA-preterm_AGA-preterm_SGA</f>
        <v>0.77201999999999993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2.7318871891574998</v>
      </c>
      <c r="D51" s="17"/>
    </row>
    <row r="52" spans="1:4" ht="15" customHeight="1" x14ac:dyDescent="0.25">
      <c r="B52" s="16" t="s">
        <v>125</v>
      </c>
      <c r="C52" s="65">
        <v>1.7801117931899999</v>
      </c>
    </row>
    <row r="53" spans="1:4" ht="15.75" customHeight="1" x14ac:dyDescent="0.25">
      <c r="B53" s="16" t="s">
        <v>126</v>
      </c>
      <c r="C53" s="65">
        <v>1.7801117931899999</v>
      </c>
    </row>
    <row r="54" spans="1:4" ht="15.75" customHeight="1" x14ac:dyDescent="0.25">
      <c r="B54" s="16" t="s">
        <v>127</v>
      </c>
      <c r="C54" s="65">
        <v>0.95160264496899993</v>
      </c>
    </row>
    <row r="55" spans="1:4" ht="15.75" customHeight="1" x14ac:dyDescent="0.25">
      <c r="B55" s="16" t="s">
        <v>128</v>
      </c>
      <c r="C55" s="65">
        <v>0.95160264496899993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1.6202203499675955E-2</v>
      </c>
    </row>
    <row r="59" spans="1:4" ht="15.75" customHeight="1" x14ac:dyDescent="0.25">
      <c r="B59" s="16" t="s">
        <v>132</v>
      </c>
      <c r="C59" s="66">
        <v>0.50650108886673595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2020</v>
      </c>
      <c r="B2" s="74">
        <v>159896</v>
      </c>
      <c r="C2" s="75">
        <v>296000</v>
      </c>
      <c r="D2" s="75">
        <v>780000</v>
      </c>
      <c r="E2" s="75">
        <v>890000</v>
      </c>
      <c r="F2" s="75">
        <v>659000</v>
      </c>
      <c r="G2" s="22">
        <f t="shared" ref="G2:G40" si="0">C2+D2+E2+F2</f>
        <v>2625000</v>
      </c>
      <c r="H2" s="22">
        <f t="shared" ref="H2:H40" si="1">(B2 + stillbirth*B2/(1000-stillbirth))/(1-abortion)</f>
        <v>186871.89196454137</v>
      </c>
      <c r="I2" s="22">
        <f>G2-H2</f>
        <v>2438128.1080354587</v>
      </c>
    </row>
    <row r="3" spans="1:9" ht="15.75" customHeight="1" x14ac:dyDescent="0.25">
      <c r="A3" s="92">
        <f t="shared" ref="A3:A40" si="2">IF($A$2+ROW(A3)-2&lt;=end_year,A2+1,"")</f>
        <v>2021</v>
      </c>
      <c r="B3" s="74">
        <v>154738</v>
      </c>
      <c r="C3" s="75">
        <v>296000</v>
      </c>
      <c r="D3" s="75">
        <v>748000</v>
      </c>
      <c r="E3" s="75">
        <v>907000</v>
      </c>
      <c r="F3" s="75">
        <v>670000</v>
      </c>
      <c r="G3" s="22">
        <f t="shared" si="0"/>
        <v>2621000</v>
      </c>
      <c r="H3" s="22">
        <f t="shared" si="1"/>
        <v>180843.6910167184</v>
      </c>
      <c r="I3" s="22">
        <f t="shared" ref="I3:I15" si="3">G3-H3</f>
        <v>2440156.3089832817</v>
      </c>
    </row>
    <row r="4" spans="1:9" ht="15.75" customHeight="1" x14ac:dyDescent="0.25">
      <c r="A4" s="92">
        <f t="shared" si="2"/>
        <v>2022</v>
      </c>
      <c r="B4" s="74">
        <v>149855</v>
      </c>
      <c r="C4" s="75">
        <v>299000</v>
      </c>
      <c r="D4" s="75">
        <v>715000</v>
      </c>
      <c r="E4" s="75">
        <v>919000</v>
      </c>
      <c r="F4" s="75">
        <v>684000</v>
      </c>
      <c r="G4" s="22">
        <f t="shared" si="0"/>
        <v>2617000</v>
      </c>
      <c r="H4" s="22">
        <f t="shared" si="1"/>
        <v>175136.88503994062</v>
      </c>
      <c r="I4" s="22">
        <f t="shared" si="3"/>
        <v>2441863.1149600595</v>
      </c>
    </row>
    <row r="5" spans="1:9" ht="15.75" customHeight="1" x14ac:dyDescent="0.25">
      <c r="A5" s="92" t="str">
        <f t="shared" si="2"/>
        <v/>
      </c>
      <c r="B5" s="74">
        <v>144283.31040000002</v>
      </c>
      <c r="C5" s="75">
        <v>304000</v>
      </c>
      <c r="D5" s="75">
        <v>684000</v>
      </c>
      <c r="E5" s="75">
        <v>924000</v>
      </c>
      <c r="F5" s="75">
        <v>701000</v>
      </c>
      <c r="G5" s="22">
        <f t="shared" si="0"/>
        <v>2613000</v>
      </c>
      <c r="H5" s="22">
        <f t="shared" si="1"/>
        <v>168625.20133934051</v>
      </c>
      <c r="I5" s="22">
        <f t="shared" si="3"/>
        <v>2444374.7986606597</v>
      </c>
    </row>
    <row r="6" spans="1:9" ht="15.75" customHeight="1" x14ac:dyDescent="0.25">
      <c r="A6" s="92" t="str">
        <f t="shared" si="2"/>
        <v/>
      </c>
      <c r="B6" s="74">
        <v>140473.74300000002</v>
      </c>
      <c r="C6" s="75">
        <v>312000</v>
      </c>
      <c r="D6" s="75">
        <v>657000</v>
      </c>
      <c r="E6" s="75">
        <v>921000</v>
      </c>
      <c r="F6" s="75">
        <v>722000</v>
      </c>
      <c r="G6" s="22">
        <f t="shared" si="0"/>
        <v>2612000</v>
      </c>
      <c r="H6" s="22">
        <f t="shared" si="1"/>
        <v>164172.92568763919</v>
      </c>
      <c r="I6" s="22">
        <f t="shared" si="3"/>
        <v>2447827.074312361</v>
      </c>
    </row>
    <row r="7" spans="1:9" ht="15.75" customHeight="1" x14ac:dyDescent="0.25">
      <c r="A7" s="92" t="str">
        <f t="shared" si="2"/>
        <v/>
      </c>
      <c r="B7" s="74">
        <v>136555.20000000001</v>
      </c>
      <c r="C7" s="75">
        <v>324000</v>
      </c>
      <c r="D7" s="75">
        <v>635000</v>
      </c>
      <c r="E7" s="75">
        <v>911000</v>
      </c>
      <c r="F7" s="75">
        <v>745000</v>
      </c>
      <c r="G7" s="22">
        <f t="shared" si="0"/>
        <v>2615000</v>
      </c>
      <c r="H7" s="22">
        <f t="shared" si="1"/>
        <v>159593.28927300457</v>
      </c>
      <c r="I7" s="22">
        <f t="shared" si="3"/>
        <v>2455406.7107269955</v>
      </c>
    </row>
    <row r="8" spans="1:9" ht="15.75" customHeight="1" x14ac:dyDescent="0.25">
      <c r="A8" s="92" t="str">
        <f t="shared" si="2"/>
        <v/>
      </c>
      <c r="B8" s="74">
        <v>135509.70480000001</v>
      </c>
      <c r="C8" s="75">
        <v>339000</v>
      </c>
      <c r="D8" s="75">
        <v>620000</v>
      </c>
      <c r="E8" s="75">
        <v>894000</v>
      </c>
      <c r="F8" s="75">
        <v>772000</v>
      </c>
      <c r="G8" s="22">
        <f t="shared" si="0"/>
        <v>2625000</v>
      </c>
      <c r="H8" s="22">
        <f t="shared" si="1"/>
        <v>158371.40963834303</v>
      </c>
      <c r="I8" s="22">
        <f t="shared" si="3"/>
        <v>2466628.5903616571</v>
      </c>
    </row>
    <row r="9" spans="1:9" ht="15.75" customHeight="1" x14ac:dyDescent="0.25">
      <c r="A9" s="92" t="str">
        <f t="shared" si="2"/>
        <v/>
      </c>
      <c r="B9" s="74">
        <v>134408.08680000002</v>
      </c>
      <c r="C9" s="75">
        <v>358000</v>
      </c>
      <c r="D9" s="75">
        <v>611000</v>
      </c>
      <c r="E9" s="75">
        <v>869000</v>
      </c>
      <c r="F9" s="75">
        <v>801000</v>
      </c>
      <c r="G9" s="22">
        <f t="shared" si="0"/>
        <v>2639000</v>
      </c>
      <c r="H9" s="22">
        <f t="shared" si="1"/>
        <v>157083.93878302333</v>
      </c>
      <c r="I9" s="22">
        <f t="shared" si="3"/>
        <v>2481916.0612169765</v>
      </c>
    </row>
    <row r="10" spans="1:9" ht="15.75" customHeight="1" x14ac:dyDescent="0.25">
      <c r="A10" s="92" t="str">
        <f t="shared" si="2"/>
        <v/>
      </c>
      <c r="B10" s="74">
        <v>133251.84360000002</v>
      </c>
      <c r="C10" s="75">
        <v>377000</v>
      </c>
      <c r="D10" s="75">
        <v>607000</v>
      </c>
      <c r="E10" s="75">
        <v>840000</v>
      </c>
      <c r="F10" s="75">
        <v>831000</v>
      </c>
      <c r="G10" s="22">
        <f t="shared" si="0"/>
        <v>2655000</v>
      </c>
      <c r="H10" s="22">
        <f t="shared" si="1"/>
        <v>155732.62696562245</v>
      </c>
      <c r="I10" s="22">
        <f t="shared" si="3"/>
        <v>2499267.3730343776</v>
      </c>
    </row>
    <row r="11" spans="1:9" ht="15.75" customHeight="1" x14ac:dyDescent="0.25">
      <c r="A11" s="92" t="str">
        <f t="shared" si="2"/>
        <v/>
      </c>
      <c r="B11" s="74">
        <v>132030.08840000004</v>
      </c>
      <c r="C11" s="75">
        <v>392000</v>
      </c>
      <c r="D11" s="75">
        <v>610000</v>
      </c>
      <c r="E11" s="75">
        <v>808000</v>
      </c>
      <c r="F11" s="75">
        <v>858000</v>
      </c>
      <c r="G11" s="22">
        <f t="shared" si="0"/>
        <v>2668000</v>
      </c>
      <c r="H11" s="22">
        <f t="shared" si="1"/>
        <v>154304.75068515568</v>
      </c>
      <c r="I11" s="22">
        <f t="shared" si="3"/>
        <v>2513695.2493148441</v>
      </c>
    </row>
    <row r="12" spans="1:9" ht="15.75" customHeight="1" x14ac:dyDescent="0.25">
      <c r="A12" s="92" t="str">
        <f t="shared" si="2"/>
        <v/>
      </c>
      <c r="B12" s="74">
        <v>130769.254</v>
      </c>
      <c r="C12" s="75">
        <v>401000</v>
      </c>
      <c r="D12" s="75">
        <v>619000</v>
      </c>
      <c r="E12" s="75">
        <v>775000</v>
      </c>
      <c r="F12" s="75">
        <v>879000</v>
      </c>
      <c r="G12" s="22">
        <f t="shared" si="0"/>
        <v>2674000</v>
      </c>
      <c r="H12" s="22">
        <f t="shared" si="1"/>
        <v>152831.20219249805</v>
      </c>
      <c r="I12" s="22">
        <f t="shared" si="3"/>
        <v>2521168.7978075021</v>
      </c>
    </row>
    <row r="13" spans="1:9" ht="15.75" customHeight="1" x14ac:dyDescent="0.25">
      <c r="A13" s="92" t="str">
        <f t="shared" si="2"/>
        <v/>
      </c>
      <c r="B13" s="74">
        <v>299000</v>
      </c>
      <c r="C13" s="75">
        <v>813000</v>
      </c>
      <c r="D13" s="75">
        <v>868000</v>
      </c>
      <c r="E13" s="75">
        <v>653000</v>
      </c>
      <c r="F13" s="75">
        <v>2.3565612500000003E-2</v>
      </c>
      <c r="G13" s="22">
        <f t="shared" si="0"/>
        <v>2334000.0235656123</v>
      </c>
      <c r="H13" s="22">
        <f t="shared" si="1"/>
        <v>349443.98670009174</v>
      </c>
      <c r="I13" s="22">
        <f t="shared" si="3"/>
        <v>1984556.0368655205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2.3565612500000003E-2</v>
      </c>
    </row>
    <row r="4" spans="1:8" ht="15.75" customHeight="1" x14ac:dyDescent="0.25">
      <c r="B4" s="24" t="s">
        <v>7</v>
      </c>
      <c r="C4" s="76">
        <v>8.2821670396721545E-2</v>
      </c>
    </row>
    <row r="5" spans="1:8" ht="15.75" customHeight="1" x14ac:dyDescent="0.25">
      <c r="B5" s="24" t="s">
        <v>8</v>
      </c>
      <c r="C5" s="76">
        <v>0.31706284673277935</v>
      </c>
    </row>
    <row r="6" spans="1:8" ht="15.75" customHeight="1" x14ac:dyDescent="0.25">
      <c r="B6" s="24" t="s">
        <v>10</v>
      </c>
      <c r="C6" s="76">
        <v>0.19450566139605599</v>
      </c>
    </row>
    <row r="7" spans="1:8" ht="15.75" customHeight="1" x14ac:dyDescent="0.25">
      <c r="B7" s="24" t="s">
        <v>13</v>
      </c>
      <c r="C7" s="76">
        <v>0.15409798789742701</v>
      </c>
    </row>
    <row r="8" spans="1:8" ht="15.75" customHeight="1" x14ac:dyDescent="0.25">
      <c r="B8" s="24" t="s">
        <v>14</v>
      </c>
      <c r="C8" s="76">
        <v>1.2248379567758052E-5</v>
      </c>
    </row>
    <row r="9" spans="1:8" ht="15.75" customHeight="1" x14ac:dyDescent="0.25">
      <c r="B9" s="24" t="s">
        <v>27</v>
      </c>
      <c r="C9" s="76">
        <v>0.154676219650555</v>
      </c>
    </row>
    <row r="10" spans="1:8" ht="15.75" customHeight="1" x14ac:dyDescent="0.25">
      <c r="B10" s="24" t="s">
        <v>15</v>
      </c>
      <c r="C10" s="76">
        <v>7.3257753046893415E-2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6.0935283856384997E-2</v>
      </c>
      <c r="D14" s="76">
        <v>6.0935283856384997E-2</v>
      </c>
      <c r="E14" s="76">
        <v>2.6637058183928496E-2</v>
      </c>
      <c r="F14" s="76">
        <v>2.6637058183928496E-2</v>
      </c>
    </row>
    <row r="15" spans="1:8" ht="15.75" customHeight="1" x14ac:dyDescent="0.25">
      <c r="B15" s="24" t="s">
        <v>16</v>
      </c>
      <c r="C15" s="76">
        <v>0.57955064371968501</v>
      </c>
      <c r="D15" s="76">
        <v>0.57955064371968501</v>
      </c>
      <c r="E15" s="76">
        <v>0.42577620361199403</v>
      </c>
      <c r="F15" s="76">
        <v>0.42577620361199403</v>
      </c>
    </row>
    <row r="16" spans="1:8" ht="15.75" customHeight="1" x14ac:dyDescent="0.25">
      <c r="B16" s="24" t="s">
        <v>17</v>
      </c>
      <c r="C16" s="76">
        <v>8.9520495879801699E-3</v>
      </c>
      <c r="D16" s="76">
        <v>8.9520495879801699E-3</v>
      </c>
      <c r="E16" s="76">
        <v>1.2125157776063999E-2</v>
      </c>
      <c r="F16" s="76">
        <v>1.2125157776063999E-2</v>
      </c>
    </row>
    <row r="17" spans="1:8" ht="15.75" customHeight="1" x14ac:dyDescent="0.25">
      <c r="B17" s="24" t="s">
        <v>18</v>
      </c>
      <c r="C17" s="76">
        <v>4.72070886972623E-7</v>
      </c>
      <c r="D17" s="76">
        <v>4.72070886972623E-7</v>
      </c>
      <c r="E17" s="76">
        <v>2.9936542747617001E-6</v>
      </c>
      <c r="F17" s="76">
        <v>2.9936542747617001E-6</v>
      </c>
    </row>
    <row r="18" spans="1:8" ht="15.75" customHeight="1" x14ac:dyDescent="0.25">
      <c r="B18" s="24" t="s">
        <v>19</v>
      </c>
      <c r="C18" s="76">
        <v>0</v>
      </c>
      <c r="D18" s="76">
        <v>0</v>
      </c>
      <c r="E18" s="76">
        <v>0</v>
      </c>
      <c r="F18" s="76">
        <v>0</v>
      </c>
    </row>
    <row r="19" spans="1:8" ht="15.75" customHeight="1" x14ac:dyDescent="0.25">
      <c r="B19" s="24" t="s">
        <v>20</v>
      </c>
      <c r="C19" s="76">
        <v>1.1366832138167599E-2</v>
      </c>
      <c r="D19" s="76">
        <v>1.1366832138167599E-2</v>
      </c>
      <c r="E19" s="76">
        <v>2.9924300342924905E-2</v>
      </c>
      <c r="F19" s="76">
        <v>2.9924300342924905E-2</v>
      </c>
    </row>
    <row r="20" spans="1:8" ht="15.75" customHeight="1" x14ac:dyDescent="0.25">
      <c r="B20" s="24" t="s">
        <v>21</v>
      </c>
      <c r="C20" s="76">
        <v>1.8628686471813303E-4</v>
      </c>
      <c r="D20" s="76">
        <v>1.8628686471813303E-4</v>
      </c>
      <c r="E20" s="76">
        <v>2.07658842578176E-3</v>
      </c>
      <c r="F20" s="76">
        <v>2.07658842578176E-3</v>
      </c>
    </row>
    <row r="21" spans="1:8" ht="15.75" customHeight="1" x14ac:dyDescent="0.25">
      <c r="B21" s="24" t="s">
        <v>22</v>
      </c>
      <c r="C21" s="76">
        <v>3.62686672449751E-2</v>
      </c>
      <c r="D21" s="76">
        <v>3.62686672449751E-2</v>
      </c>
      <c r="E21" s="76">
        <v>0.14687917333923101</v>
      </c>
      <c r="F21" s="76">
        <v>0.14687917333923101</v>
      </c>
    </row>
    <row r="22" spans="1:8" ht="15.75" customHeight="1" x14ac:dyDescent="0.25">
      <c r="B22" s="24" t="s">
        <v>23</v>
      </c>
      <c r="C22" s="76">
        <v>0.30273976451720208</v>
      </c>
      <c r="D22" s="76">
        <v>0.30273976451720208</v>
      </c>
      <c r="E22" s="76">
        <v>0.35657852466580109</v>
      </c>
      <c r="F22" s="76">
        <v>0.35657852466580109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3.2300000000000002E-2</v>
      </c>
    </row>
    <row r="27" spans="1:8" ht="15.75" customHeight="1" x14ac:dyDescent="0.25">
      <c r="B27" s="24" t="s">
        <v>39</v>
      </c>
      <c r="C27" s="76">
        <v>8.09E-2</v>
      </c>
    </row>
    <row r="28" spans="1:8" ht="15.75" customHeight="1" x14ac:dyDescent="0.25">
      <c r="B28" s="24" t="s">
        <v>40</v>
      </c>
      <c r="C28" s="76">
        <v>0.1104</v>
      </c>
    </row>
    <row r="29" spans="1:8" ht="15.75" customHeight="1" x14ac:dyDescent="0.25">
      <c r="B29" s="24" t="s">
        <v>41</v>
      </c>
      <c r="C29" s="76">
        <v>8.9900000000000008E-2</v>
      </c>
    </row>
    <row r="30" spans="1:8" ht="15.75" customHeight="1" x14ac:dyDescent="0.25">
      <c r="B30" s="24" t="s">
        <v>42</v>
      </c>
      <c r="C30" s="76">
        <v>2.9600000000000001E-2</v>
      </c>
    </row>
    <row r="31" spans="1:8" ht="15.75" customHeight="1" x14ac:dyDescent="0.25">
      <c r="B31" s="24" t="s">
        <v>43</v>
      </c>
      <c r="C31" s="76">
        <v>3.5499999999999997E-2</v>
      </c>
    </row>
    <row r="32" spans="1:8" ht="15.75" customHeight="1" x14ac:dyDescent="0.25">
      <c r="B32" s="24" t="s">
        <v>44</v>
      </c>
      <c r="C32" s="76">
        <v>0.251</v>
      </c>
    </row>
    <row r="33" spans="2:3" ht="15.75" customHeight="1" x14ac:dyDescent="0.25">
      <c r="B33" s="24" t="s">
        <v>45</v>
      </c>
      <c r="C33" s="76">
        <v>0.14169999999999999</v>
      </c>
    </row>
    <row r="34" spans="2:3" ht="15.75" customHeight="1" x14ac:dyDescent="0.25">
      <c r="B34" s="24" t="s">
        <v>46</v>
      </c>
      <c r="C34" s="76">
        <v>0.22870000000000001</v>
      </c>
    </row>
    <row r="35" spans="2:3" ht="15.75" customHeight="1" x14ac:dyDescent="0.25">
      <c r="B35" s="32" t="s">
        <v>129</v>
      </c>
      <c r="C35" s="91">
        <f>SUM(C26:C34)</f>
        <v>0.99999999999999989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0.56787872549112428</v>
      </c>
      <c r="D2" s="77">
        <v>0.61209999999999998</v>
      </c>
      <c r="E2" s="77">
        <v>0.7390000000000001</v>
      </c>
      <c r="F2" s="77">
        <v>0.57979999999999998</v>
      </c>
      <c r="G2" s="77">
        <v>0.43149999999999999</v>
      </c>
    </row>
    <row r="3" spans="1:15" ht="15.75" customHeight="1" x14ac:dyDescent="0.25">
      <c r="A3" s="5"/>
      <c r="B3" s="11" t="s">
        <v>118</v>
      </c>
      <c r="C3" s="77">
        <v>0.23280000000000001</v>
      </c>
      <c r="D3" s="77">
        <v>0.23280000000000001</v>
      </c>
      <c r="E3" s="77">
        <v>0.12089999999999999</v>
      </c>
      <c r="F3" s="77">
        <v>0.25079999999999997</v>
      </c>
      <c r="G3" s="77">
        <v>0.24559999999999998</v>
      </c>
    </row>
    <row r="4" spans="1:15" ht="15.75" customHeight="1" x14ac:dyDescent="0.25">
      <c r="A4" s="5"/>
      <c r="B4" s="11" t="s">
        <v>116</v>
      </c>
      <c r="C4" s="78">
        <v>8.2599999999999993E-2</v>
      </c>
      <c r="D4" s="78">
        <v>8.2599999999999993E-2</v>
      </c>
      <c r="E4" s="78">
        <v>7.9500000000000001E-2</v>
      </c>
      <c r="F4" s="78">
        <v>9.8900000000000002E-2</v>
      </c>
      <c r="G4" s="78">
        <v>0.16949999999999998</v>
      </c>
    </row>
    <row r="5" spans="1:15" ht="15.75" customHeight="1" x14ac:dyDescent="0.25">
      <c r="A5" s="5"/>
      <c r="B5" s="11" t="s">
        <v>119</v>
      </c>
      <c r="C5" s="78">
        <v>7.2599999999999998E-2</v>
      </c>
      <c r="D5" s="78">
        <v>7.2599999999999998E-2</v>
      </c>
      <c r="E5" s="78">
        <v>6.0599999999999994E-2</v>
      </c>
      <c r="F5" s="78">
        <v>7.0400000000000004E-2</v>
      </c>
      <c r="G5" s="78">
        <v>0.15329999999999999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>
        <v>0.64300000000000002</v>
      </c>
      <c r="D8" s="77">
        <v>0.64300000000000002</v>
      </c>
      <c r="E8" s="77">
        <v>0.71400000000000008</v>
      </c>
      <c r="F8" s="77">
        <v>0.81840000000000002</v>
      </c>
      <c r="G8" s="77">
        <v>0.88560000000000005</v>
      </c>
    </row>
    <row r="9" spans="1:15" ht="15.75" customHeight="1" x14ac:dyDescent="0.25">
      <c r="B9" s="7" t="s">
        <v>121</v>
      </c>
      <c r="C9" s="77">
        <v>0.1789</v>
      </c>
      <c r="D9" s="77">
        <v>0.1789</v>
      </c>
      <c r="E9" s="77">
        <v>0.13489999999999999</v>
      </c>
      <c r="F9" s="77">
        <v>0.12539999999999998</v>
      </c>
      <c r="G9" s="77">
        <v>7.7499999999999999E-2</v>
      </c>
    </row>
    <row r="10" spans="1:15" ht="15.75" customHeight="1" x14ac:dyDescent="0.25">
      <c r="B10" s="7" t="s">
        <v>122</v>
      </c>
      <c r="C10" s="78">
        <v>0.1268</v>
      </c>
      <c r="D10" s="78">
        <v>0.1268</v>
      </c>
      <c r="E10" s="78">
        <v>0.12240000000000001</v>
      </c>
      <c r="F10" s="78">
        <v>3.3000000000000002E-2</v>
      </c>
      <c r="G10" s="78">
        <v>2.3399999999999997E-2</v>
      </c>
    </row>
    <row r="11" spans="1:15" ht="15.75" customHeight="1" x14ac:dyDescent="0.25">
      <c r="B11" s="7" t="s">
        <v>123</v>
      </c>
      <c r="C11" s="78">
        <v>5.1299999999999998E-2</v>
      </c>
      <c r="D11" s="78">
        <v>5.1299999999999998E-2</v>
      </c>
      <c r="E11" s="78">
        <v>2.87E-2</v>
      </c>
      <c r="F11" s="78">
        <v>2.3300000000000001E-2</v>
      </c>
      <c r="G11" s="78">
        <v>1.3600000000000001E-2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0.62129762875000005</v>
      </c>
      <c r="D14" s="79">
        <v>0.59335814614399995</v>
      </c>
      <c r="E14" s="79">
        <v>0.59335814614399995</v>
      </c>
      <c r="F14" s="79">
        <v>0.289678393378</v>
      </c>
      <c r="G14" s="79">
        <v>0.289678393378</v>
      </c>
      <c r="H14" s="80">
        <v>0.40167000000000003</v>
      </c>
      <c r="I14" s="80">
        <v>0.40167000000000003</v>
      </c>
      <c r="J14" s="80">
        <v>0.40167000000000003</v>
      </c>
      <c r="K14" s="80">
        <v>0.40167000000000003</v>
      </c>
      <c r="L14" s="80">
        <v>0.38505</v>
      </c>
      <c r="M14" s="80">
        <v>0.38505</v>
      </c>
      <c r="N14" s="80">
        <v>0.38505</v>
      </c>
      <c r="O14" s="80">
        <v>0.38505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0.3146879254721961</v>
      </c>
      <c r="D15" s="77">
        <f t="shared" si="0"/>
        <v>0.30053654710988381</v>
      </c>
      <c r="E15" s="77">
        <f t="shared" si="0"/>
        <v>0.30053654710988381</v>
      </c>
      <c r="F15" s="77">
        <f t="shared" si="0"/>
        <v>0.14672242166712368</v>
      </c>
      <c r="G15" s="77">
        <f t="shared" si="0"/>
        <v>0.14672242166712368</v>
      </c>
      <c r="H15" s="77">
        <f t="shared" si="0"/>
        <v>0.20344629236510184</v>
      </c>
      <c r="I15" s="77">
        <f t="shared" si="0"/>
        <v>0.20344629236510184</v>
      </c>
      <c r="J15" s="77">
        <f t="shared" si="0"/>
        <v>0.20344629236510184</v>
      </c>
      <c r="K15" s="77">
        <f t="shared" si="0"/>
        <v>0.20344629236510184</v>
      </c>
      <c r="L15" s="77">
        <f t="shared" si="0"/>
        <v>0.19502824426813667</v>
      </c>
      <c r="M15" s="77">
        <f t="shared" si="0"/>
        <v>0.19502824426813667</v>
      </c>
      <c r="N15" s="77">
        <f t="shared" si="0"/>
        <v>0.19502824426813667</v>
      </c>
      <c r="O15" s="77">
        <f t="shared" si="0"/>
        <v>0.19502824426813667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>
        <v>0.22289999999999999</v>
      </c>
      <c r="D2" s="78">
        <v>8.3299999999999999E-2</v>
      </c>
      <c r="E2" s="78">
        <v>0</v>
      </c>
      <c r="F2" s="78">
        <v>0</v>
      </c>
      <c r="G2" s="78">
        <v>0</v>
      </c>
    </row>
    <row r="3" spans="1:7" x14ac:dyDescent="0.25">
      <c r="B3" s="43" t="s">
        <v>167</v>
      </c>
      <c r="C3" s="78">
        <v>0.4007</v>
      </c>
      <c r="D3" s="78">
        <v>0.36930000000000002</v>
      </c>
      <c r="E3" s="78">
        <v>0</v>
      </c>
      <c r="F3" s="78">
        <v>0</v>
      </c>
      <c r="G3" s="78">
        <v>0</v>
      </c>
    </row>
    <row r="4" spans="1:7" x14ac:dyDescent="0.25">
      <c r="B4" s="43" t="s">
        <v>168</v>
      </c>
      <c r="C4" s="78">
        <v>0.2732</v>
      </c>
      <c r="D4" s="78">
        <v>0.35859999999999997</v>
      </c>
      <c r="E4" s="78">
        <v>0</v>
      </c>
      <c r="F4" s="78">
        <v>0</v>
      </c>
      <c r="G4" s="78">
        <v>0</v>
      </c>
    </row>
    <row r="5" spans="1:7" x14ac:dyDescent="0.25">
      <c r="B5" s="43" t="s">
        <v>169</v>
      </c>
      <c r="C5" s="77">
        <f>1-SUM(C2:C4)</f>
        <v>0.10320000000000007</v>
      </c>
      <c r="D5" s="77">
        <f t="shared" ref="D5:G5" si="0">1-SUM(D2:D4)</f>
        <v>0.18880000000000008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F1" sqref="F1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 x14ac:dyDescent="0.25">
      <c r="A2" t="s">
        <v>139</v>
      </c>
      <c r="B2" s="14" t="s">
        <v>143</v>
      </c>
      <c r="C2" s="28">
        <v>0.2591</v>
      </c>
      <c r="D2" s="28">
        <v>0.26079999999999998</v>
      </c>
      <c r="E2" s="28">
        <v>0.26119999999999999</v>
      </c>
      <c r="F2" s="28"/>
      <c r="G2" s="28"/>
      <c r="H2" s="28"/>
      <c r="I2" s="28"/>
      <c r="J2" s="28"/>
      <c r="K2" s="28"/>
    </row>
    <row r="3" spans="1:11" x14ac:dyDescent="0.25">
      <c r="B3" s="14"/>
    </row>
    <row r="4" spans="1:11" x14ac:dyDescent="0.25">
      <c r="A4" t="s">
        <v>140</v>
      </c>
      <c r="B4" s="14" t="s">
        <v>143</v>
      </c>
      <c r="C4" s="28">
        <v>6.5000000000000002E-2</v>
      </c>
      <c r="D4" s="28">
        <v>6.4799999999999996E-2</v>
      </c>
      <c r="E4" s="28">
        <v>6.4799999999999996E-2</v>
      </c>
      <c r="F4" s="28"/>
      <c r="G4" s="28"/>
      <c r="H4" s="28"/>
      <c r="I4" s="28"/>
      <c r="J4" s="28"/>
      <c r="K4" s="28"/>
    </row>
    <row r="5" spans="1:11" x14ac:dyDescent="0.25">
      <c r="B5" s="14"/>
    </row>
    <row r="6" spans="1:11" x14ac:dyDescent="0.25">
      <c r="A6" t="s">
        <v>141</v>
      </c>
      <c r="B6" s="14" t="s">
        <v>143</v>
      </c>
      <c r="C6" s="28">
        <f>'Nutritional status distribution'!E14</f>
        <v>0.59335814614399995</v>
      </c>
      <c r="D6" s="28"/>
      <c r="E6" s="28"/>
      <c r="F6" s="28"/>
      <c r="G6" s="28"/>
      <c r="H6" s="28"/>
      <c r="I6" s="28"/>
      <c r="J6" s="28"/>
      <c r="K6" s="28"/>
    </row>
    <row r="7" spans="1:11" x14ac:dyDescent="0.25">
      <c r="B7" s="14" t="s">
        <v>32</v>
      </c>
      <c r="C7" s="28">
        <f>'Nutritional status distribution'!H14</f>
        <v>0.40167000000000003</v>
      </c>
      <c r="D7" s="28"/>
      <c r="E7" s="28"/>
      <c r="F7" s="28"/>
      <c r="G7" s="28"/>
      <c r="H7" s="28"/>
      <c r="I7" s="28"/>
      <c r="J7" s="28"/>
      <c r="K7" s="28"/>
    </row>
    <row r="8" spans="1:11" x14ac:dyDescent="0.25">
      <c r="B8" s="14" t="s">
        <v>144</v>
      </c>
      <c r="C8" s="28">
        <f>'Nutritional status distribution'!L14</f>
        <v>0.38505</v>
      </c>
      <c r="D8" s="28"/>
      <c r="E8" s="28"/>
      <c r="F8" s="28"/>
      <c r="G8" s="28"/>
      <c r="H8" s="28"/>
      <c r="I8" s="28"/>
      <c r="J8" s="28"/>
      <c r="K8" s="28"/>
    </row>
    <row r="10" spans="1:11" x14ac:dyDescent="0.25">
      <c r="A10" t="s">
        <v>142</v>
      </c>
      <c r="B10" s="16" t="s">
        <v>147</v>
      </c>
      <c r="C10" s="28">
        <f>SUM('Breastfeeding distribution'!D2)</f>
        <v>8.3299999999999999E-2</v>
      </c>
      <c r="D10" s="28"/>
      <c r="E10" s="28"/>
      <c r="F10" s="28"/>
      <c r="G10" s="28"/>
      <c r="H10" s="28"/>
      <c r="I10" s="28"/>
      <c r="J10" s="28"/>
      <c r="K10" s="28"/>
    </row>
    <row r="11" spans="1:11" x14ac:dyDescent="0.25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 x14ac:dyDescent="0.25">
      <c r="A13" s="12" t="s">
        <v>74</v>
      </c>
      <c r="B13" s="34" t="s">
        <v>148</v>
      </c>
      <c r="C13" s="145">
        <v>23</v>
      </c>
      <c r="D13" s="28"/>
      <c r="E13" s="28"/>
      <c r="F13" s="28"/>
      <c r="G13" s="28"/>
      <c r="H13" s="28"/>
      <c r="I13" s="28"/>
      <c r="J13" s="28"/>
      <c r="K13" s="28"/>
    </row>
    <row r="14" spans="1:11" x14ac:dyDescent="0.25">
      <c r="B14" s="16" t="s">
        <v>170</v>
      </c>
      <c r="C14" s="145">
        <f>maternal_mortality</f>
        <v>0.25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E7" sqref="E7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 x14ac:dyDescent="0.2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 x14ac:dyDescent="0.25">
      <c r="A5" s="47"/>
      <c r="B5" s="46" t="s">
        <v>3</v>
      </c>
      <c r="C5" s="81"/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/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/>
      <c r="E9" s="59"/>
    </row>
    <row r="10" spans="1:5" x14ac:dyDescent="0.25">
      <c r="A10" s="47"/>
      <c r="B10" s="46" t="s">
        <v>1</v>
      </c>
      <c r="C10" s="81"/>
      <c r="D10" s="81"/>
      <c r="E10" s="58"/>
    </row>
    <row r="11" spans="1:5" x14ac:dyDescent="0.25">
      <c r="A11" s="47"/>
      <c r="B11" s="46" t="s">
        <v>2</v>
      </c>
      <c r="C11" s="81"/>
      <c r="D11" s="81"/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 x14ac:dyDescent="0.25">
      <c r="A17" s="47"/>
      <c r="B17" s="46" t="s">
        <v>1</v>
      </c>
      <c r="C17" s="82"/>
      <c r="D17" s="81"/>
      <c r="E17" s="58" t="str">
        <f>IF(E$21="","",E$21)</f>
        <v>x</v>
      </c>
    </row>
    <row r="18" spans="1:5" x14ac:dyDescent="0.25">
      <c r="A18" s="47"/>
      <c r="B18" s="46" t="s">
        <v>2</v>
      </c>
      <c r="C18" s="82"/>
      <c r="D18" s="81"/>
      <c r="E18" s="58" t="str">
        <f>IF(E$21="","",E$21)</f>
        <v>x</v>
      </c>
    </row>
    <row r="19" spans="1:5" x14ac:dyDescent="0.25">
      <c r="A19" s="47"/>
      <c r="B19" s="46" t="s">
        <v>3</v>
      </c>
      <c r="C19" s="82"/>
      <c r="D19" s="81" t="s">
        <v>216</v>
      </c>
      <c r="E19" s="58" t="str">
        <f>IF(E$21="","",E$21)</f>
        <v>x</v>
      </c>
    </row>
    <row r="20" spans="1:5" x14ac:dyDescent="0.25">
      <c r="A20" s="47"/>
      <c r="B20" s="46" t="s">
        <v>4</v>
      </c>
      <c r="C20" s="82"/>
      <c r="D20" s="84" t="s">
        <v>216</v>
      </c>
      <c r="E20" s="58" t="str">
        <f>IF(E$21="","",E$21)</f>
        <v>x</v>
      </c>
    </row>
    <row r="21" spans="1:5" x14ac:dyDescent="0.2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topLeftCell="A7" zoomScale="106" workbookViewId="0">
      <selection activeCell="C20" sqref="C20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>
        <v>0</v>
      </c>
      <c r="C2" s="85">
        <v>0.95</v>
      </c>
      <c r="D2" s="86">
        <v>59.72</v>
      </c>
      <c r="E2" s="86" t="s">
        <v>201</v>
      </c>
    </row>
    <row r="3" spans="1:5" ht="15.75" customHeight="1" x14ac:dyDescent="0.25">
      <c r="A3" s="53" t="s">
        <v>86</v>
      </c>
      <c r="B3" s="85">
        <v>0</v>
      </c>
      <c r="C3" s="85">
        <v>0.95</v>
      </c>
      <c r="D3" s="86">
        <v>42.23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>
        <v>411.14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>
        <v>6.22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1.06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0.39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0.39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0.39</v>
      </c>
      <c r="E9" s="86" t="s">
        <v>201</v>
      </c>
    </row>
    <row r="10" spans="1:5" ht="15.75" customHeight="1" x14ac:dyDescent="0.25">
      <c r="A10" s="61" t="s">
        <v>190</v>
      </c>
      <c r="B10" s="85">
        <v>0</v>
      </c>
      <c r="C10" s="85">
        <v>0.95</v>
      </c>
      <c r="D10" s="86">
        <v>1.53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>
        <v>1.53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>
        <v>1.53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>
        <v>1.53</v>
      </c>
      <c r="E13" s="86" t="s">
        <v>201</v>
      </c>
    </row>
    <row r="14" spans="1:5" ht="15.75" customHeight="1" x14ac:dyDescent="0.25">
      <c r="A14" s="11" t="s">
        <v>189</v>
      </c>
      <c r="B14" s="85">
        <v>1.2E-2</v>
      </c>
      <c r="C14" s="85">
        <v>0.95</v>
      </c>
      <c r="D14" s="86">
        <v>13.75</v>
      </c>
      <c r="E14" s="86" t="s">
        <v>201</v>
      </c>
    </row>
    <row r="15" spans="1:5" ht="15.75" customHeight="1" x14ac:dyDescent="0.25">
      <c r="A15" s="11" t="s">
        <v>206</v>
      </c>
      <c r="B15" s="85">
        <v>0</v>
      </c>
      <c r="C15" s="85">
        <v>0.95</v>
      </c>
      <c r="D15" s="86">
        <v>13.75</v>
      </c>
      <c r="E15" s="86" t="s">
        <v>201</v>
      </c>
    </row>
    <row r="16" spans="1:5" ht="15.75" customHeight="1" x14ac:dyDescent="0.25">
      <c r="A16" s="53" t="s">
        <v>57</v>
      </c>
      <c r="B16" s="85">
        <v>0</v>
      </c>
      <c r="C16" s="85">
        <v>0.95</v>
      </c>
      <c r="D16" s="86">
        <v>0.72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>
        <v>0.15</v>
      </c>
      <c r="E17" s="86" t="s">
        <v>201</v>
      </c>
    </row>
    <row r="18" spans="1:5" ht="15.75" customHeight="1" x14ac:dyDescent="0.25">
      <c r="A18" s="53" t="s">
        <v>175</v>
      </c>
      <c r="B18" s="85">
        <v>6.6000000000000003E-2</v>
      </c>
      <c r="C18" s="85">
        <v>0.95</v>
      </c>
      <c r="D18" s="86">
        <v>9.49</v>
      </c>
      <c r="E18" s="86" t="s">
        <v>201</v>
      </c>
    </row>
    <row r="19" spans="1:5" ht="15.75" customHeight="1" x14ac:dyDescent="0.25">
      <c r="A19" s="53" t="s">
        <v>174</v>
      </c>
      <c r="B19" s="85">
        <v>0.436</v>
      </c>
      <c r="C19" s="85">
        <f>(1-food_insecure)*0.95</f>
        <v>0.94524999999999992</v>
      </c>
      <c r="D19" s="86">
        <v>9.49</v>
      </c>
      <c r="E19" s="86" t="s">
        <v>201</v>
      </c>
    </row>
    <row r="20" spans="1:5" ht="15.75" customHeight="1" x14ac:dyDescent="0.25">
      <c r="A20" s="53" t="s">
        <v>173</v>
      </c>
      <c r="B20" s="85">
        <v>0</v>
      </c>
      <c r="C20" s="85">
        <v>0.95</v>
      </c>
      <c r="D20" s="86">
        <v>9.4499999999999993</v>
      </c>
      <c r="E20" s="86" t="s">
        <v>201</v>
      </c>
    </row>
    <row r="21" spans="1:5" ht="15.75" customHeight="1" x14ac:dyDescent="0.25">
      <c r="A21" s="53" t="s">
        <v>196</v>
      </c>
      <c r="B21" s="85">
        <v>0</v>
      </c>
      <c r="C21" s="85">
        <v>0.95</v>
      </c>
      <c r="D21" s="86">
        <v>73.44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0.95</v>
      </c>
      <c r="D22" s="86">
        <v>23.71</v>
      </c>
      <c r="E22" s="86" t="s">
        <v>201</v>
      </c>
    </row>
    <row r="23" spans="1:5" ht="15.75" customHeight="1" x14ac:dyDescent="0.25">
      <c r="A23" s="53" t="s">
        <v>34</v>
      </c>
      <c r="B23" s="85">
        <v>0</v>
      </c>
      <c r="C23" s="85">
        <v>0.95</v>
      </c>
      <c r="D23" s="86">
        <v>4.51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>
        <v>19.649999999999999</v>
      </c>
      <c r="E24" s="86" t="s">
        <v>201</v>
      </c>
    </row>
    <row r="25" spans="1:5" ht="15.75" customHeight="1" x14ac:dyDescent="0.25">
      <c r="A25" s="53" t="s">
        <v>87</v>
      </c>
      <c r="B25" s="85">
        <v>0.23399999999999999</v>
      </c>
      <c r="C25" s="85">
        <v>0.95</v>
      </c>
      <c r="D25" s="86">
        <v>19.649999999999999</v>
      </c>
      <c r="E25" s="86" t="s">
        <v>201</v>
      </c>
    </row>
    <row r="26" spans="1:5" ht="15.75" customHeight="1" x14ac:dyDescent="0.25">
      <c r="A26" s="53" t="s">
        <v>137</v>
      </c>
      <c r="B26" s="85">
        <v>1.6E-2</v>
      </c>
      <c r="C26" s="85">
        <v>0.95</v>
      </c>
      <c r="D26" s="86">
        <v>5.44</v>
      </c>
      <c r="E26" s="86" t="s">
        <v>201</v>
      </c>
    </row>
    <row r="27" spans="1:5" ht="15.75" customHeight="1" x14ac:dyDescent="0.25">
      <c r="A27" s="53" t="s">
        <v>59</v>
      </c>
      <c r="B27" s="85">
        <v>0</v>
      </c>
      <c r="C27" s="85">
        <v>0.95</v>
      </c>
      <c r="D27" s="86">
        <v>19.649999999999999</v>
      </c>
      <c r="E27" s="86" t="s">
        <v>201</v>
      </c>
    </row>
    <row r="28" spans="1:5" ht="15.75" customHeight="1" x14ac:dyDescent="0.25">
      <c r="A28" s="53" t="s">
        <v>84</v>
      </c>
      <c r="B28" s="85">
        <v>0.21100000000000002</v>
      </c>
      <c r="C28" s="85">
        <v>0.95</v>
      </c>
      <c r="D28" s="86">
        <v>0.9</v>
      </c>
      <c r="E28" s="86" t="s">
        <v>201</v>
      </c>
    </row>
    <row r="29" spans="1:5" ht="15.75" customHeight="1" x14ac:dyDescent="0.25">
      <c r="A29" s="53" t="s">
        <v>58</v>
      </c>
      <c r="B29" s="85">
        <v>0.436</v>
      </c>
      <c r="C29" s="85">
        <v>0.95</v>
      </c>
      <c r="D29" s="86">
        <v>116.37</v>
      </c>
      <c r="E29" s="86" t="s">
        <v>201</v>
      </c>
    </row>
    <row r="30" spans="1:5" ht="15.75" customHeight="1" x14ac:dyDescent="0.25">
      <c r="A30" s="53" t="s">
        <v>67</v>
      </c>
      <c r="B30" s="85">
        <v>0</v>
      </c>
      <c r="C30" s="85">
        <v>0.95</v>
      </c>
      <c r="D30" s="86">
        <v>320.87</v>
      </c>
      <c r="E30" s="86" t="s">
        <v>201</v>
      </c>
    </row>
    <row r="31" spans="1:5" ht="15.75" customHeight="1" x14ac:dyDescent="0.25">
      <c r="A31" s="53" t="s">
        <v>185</v>
      </c>
      <c r="B31" s="85">
        <v>0</v>
      </c>
      <c r="C31" s="85">
        <v>0.95</v>
      </c>
      <c r="D31" s="86">
        <v>340.12</v>
      </c>
      <c r="E31" s="86" t="s">
        <v>201</v>
      </c>
    </row>
    <row r="32" spans="1:5" ht="15.75" customHeight="1" x14ac:dyDescent="0.25">
      <c r="A32" s="53" t="s">
        <v>28</v>
      </c>
      <c r="B32" s="85">
        <v>0.35100000000000003</v>
      </c>
      <c r="C32" s="85">
        <v>0.95</v>
      </c>
      <c r="D32" s="86">
        <v>1.55</v>
      </c>
      <c r="E32" s="86" t="s">
        <v>201</v>
      </c>
    </row>
    <row r="33" spans="1:6" ht="15.75" customHeight="1" x14ac:dyDescent="0.25">
      <c r="A33" s="53" t="s">
        <v>83</v>
      </c>
      <c r="B33" s="85">
        <v>0</v>
      </c>
      <c r="C33" s="85">
        <v>0.95</v>
      </c>
      <c r="D33" s="144">
        <v>0.95</v>
      </c>
      <c r="E33" s="86" t="s">
        <v>201</v>
      </c>
    </row>
    <row r="34" spans="1:6" ht="15.75" customHeight="1" x14ac:dyDescent="0.25">
      <c r="A34" s="53" t="s">
        <v>82</v>
      </c>
      <c r="B34" s="85">
        <v>0</v>
      </c>
      <c r="C34" s="85">
        <v>0.95</v>
      </c>
      <c r="D34" s="144">
        <v>0.95</v>
      </c>
      <c r="E34" s="86" t="s">
        <v>201</v>
      </c>
    </row>
    <row r="35" spans="1:6" ht="15.75" customHeight="1" x14ac:dyDescent="0.25">
      <c r="A35" s="53" t="s">
        <v>81</v>
      </c>
      <c r="B35" s="85">
        <v>0.92500000000000004</v>
      </c>
      <c r="C35" s="85">
        <v>0.95</v>
      </c>
      <c r="D35" s="144">
        <v>83.74</v>
      </c>
      <c r="E35" s="86" t="s">
        <v>201</v>
      </c>
    </row>
    <row r="36" spans="1:6" ht="15.75" customHeight="1" x14ac:dyDescent="0.25">
      <c r="A36" s="53" t="s">
        <v>79</v>
      </c>
      <c r="B36" s="85">
        <v>0.91400000000000003</v>
      </c>
      <c r="C36" s="85">
        <v>0.95</v>
      </c>
      <c r="D36" s="144">
        <v>32.86</v>
      </c>
      <c r="E36" s="86" t="s">
        <v>201</v>
      </c>
    </row>
    <row r="37" spans="1:6" s="36" customFormat="1" ht="15.75" customHeight="1" x14ac:dyDescent="0.25">
      <c r="A37" s="53" t="s">
        <v>80</v>
      </c>
      <c r="B37" s="85">
        <v>0.78500000000000003</v>
      </c>
      <c r="C37" s="85">
        <v>0.95</v>
      </c>
      <c r="D37" s="144">
        <v>108.12</v>
      </c>
      <c r="E37" s="86" t="s">
        <v>201</v>
      </c>
      <c r="F37" s="35"/>
    </row>
    <row r="38" spans="1:6" ht="15.75" customHeight="1" x14ac:dyDescent="0.25">
      <c r="A38" s="53" t="s">
        <v>85</v>
      </c>
      <c r="B38" s="85">
        <v>0</v>
      </c>
      <c r="C38" s="85">
        <v>0.95</v>
      </c>
      <c r="D38" s="86">
        <v>2.1</v>
      </c>
      <c r="E38" s="86" t="s">
        <v>201</v>
      </c>
    </row>
    <row r="39" spans="1:6" ht="15.75" customHeight="1" x14ac:dyDescent="0.25">
      <c r="A39" s="53" t="s">
        <v>60</v>
      </c>
      <c r="B39" s="85">
        <v>0</v>
      </c>
      <c r="C39" s="85">
        <v>0.95</v>
      </c>
      <c r="D39" s="86">
        <v>1.57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tabSelected="1" workbookViewId="0">
      <selection activeCell="C6" sqref="C6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 t="s">
        <v>174</v>
      </c>
      <c r="B6" s="87" t="s">
        <v>58</v>
      </c>
      <c r="C6" s="87"/>
    </row>
    <row r="7" spans="1:3" x14ac:dyDescent="0.25">
      <c r="A7" s="89"/>
      <c r="B7" s="87"/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1" sqref="A11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 t="s">
        <v>67</v>
      </c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2.7318871891574998</v>
      </c>
      <c r="C2" s="26">
        <f>'Baseline year population inputs'!C52</f>
        <v>1.7801117931899999</v>
      </c>
      <c r="D2" s="26">
        <f>'Baseline year population inputs'!C53</f>
        <v>1.7801117931899999</v>
      </c>
      <c r="E2" s="26">
        <f>'Baseline year population inputs'!C54</f>
        <v>0.95160264496899993</v>
      </c>
      <c r="F2" s="26">
        <f>'Baseline year population inputs'!C55</f>
        <v>0.95160264496899993</v>
      </c>
    </row>
    <row r="3" spans="1:6" ht="15.75" customHeight="1" x14ac:dyDescent="0.25">
      <c r="A3" s="3" t="s">
        <v>65</v>
      </c>
      <c r="B3" s="26">
        <f>frac_mam_1month * 2.6</f>
        <v>0.32968000000000003</v>
      </c>
      <c r="C3" s="26">
        <f>frac_mam_1_5months * 2.6</f>
        <v>0.32968000000000003</v>
      </c>
      <c r="D3" s="26">
        <f>frac_mam_6_11months * 2.6</f>
        <v>0.31824000000000002</v>
      </c>
      <c r="E3" s="26">
        <f>frac_mam_12_23months * 2.6</f>
        <v>8.5800000000000001E-2</v>
      </c>
      <c r="F3" s="26">
        <f>frac_mam_24_59months * 2.6</f>
        <v>6.0839999999999991E-2</v>
      </c>
    </row>
    <row r="4" spans="1:6" ht="15.75" customHeight="1" x14ac:dyDescent="0.25">
      <c r="A4" s="3" t="s">
        <v>66</v>
      </c>
      <c r="B4" s="26">
        <f>frac_sam_1month * 2.6</f>
        <v>0.13338</v>
      </c>
      <c r="C4" s="26">
        <f>frac_sam_1_5months * 2.6</f>
        <v>0.13338</v>
      </c>
      <c r="D4" s="26">
        <f>frac_sam_6_11months * 2.6</f>
        <v>7.4620000000000006E-2</v>
      </c>
      <c r="E4" s="26">
        <f>frac_sam_12_23months * 2.6</f>
        <v>6.0580000000000002E-2</v>
      </c>
      <c r="F4" s="26">
        <f>frac_sam_24_59months * 2.6</f>
        <v>3.5360000000000003E-2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A12" sqref="A12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5.0000000000000001E-3</v>
      </c>
      <c r="E2" s="93">
        <f>food_insecure</f>
        <v>5.0000000000000001E-3</v>
      </c>
      <c r="F2" s="93">
        <f>food_insecure</f>
        <v>5.0000000000000001E-3</v>
      </c>
      <c r="G2" s="93">
        <f>food_insecure</f>
        <v>5.0000000000000001E-3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5.0000000000000001E-3</v>
      </c>
      <c r="F5" s="93">
        <f>food_insecure</f>
        <v>5.0000000000000001E-3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</f>
        <v>2.7318871891574998</v>
      </c>
      <c r="D7" s="93">
        <f>diarrhoea_1_5mo</f>
        <v>1.7801117931899999</v>
      </c>
      <c r="E7" s="93">
        <f>diarrhoea_6_11mo</f>
        <v>1.7801117931899999</v>
      </c>
      <c r="F7" s="93">
        <f>diarrhoea_12_23mo</f>
        <v>0.95160264496899993</v>
      </c>
      <c r="G7" s="93">
        <f>diarrhoea_24_59mo</f>
        <v>0.95160264496899993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5.0000000000000001E-3</v>
      </c>
      <c r="F8" s="93">
        <f>food_insecure</f>
        <v>5.0000000000000001E-3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</f>
        <v>2.7318871891574998</v>
      </c>
      <c r="D12" s="93">
        <f>diarrhoea_1_5mo</f>
        <v>1.7801117931899999</v>
      </c>
      <c r="E12" s="93">
        <f>diarrhoea_6_11mo</f>
        <v>1.7801117931899999</v>
      </c>
      <c r="F12" s="93">
        <f>diarrhoea_12_23mo</f>
        <v>0.95160264496899993</v>
      </c>
      <c r="G12" s="93">
        <f>diarrhoea_24_59mo</f>
        <v>0.95160264496899993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5.0000000000000001E-3</v>
      </c>
      <c r="I15" s="93">
        <f>food_insecure</f>
        <v>5.0000000000000001E-3</v>
      </c>
      <c r="J15" s="93">
        <f>food_insecure</f>
        <v>5.0000000000000001E-3</v>
      </c>
      <c r="K15" s="93">
        <f>food_insecure</f>
        <v>5.0000000000000001E-3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0.66099999999999992</v>
      </c>
      <c r="I18" s="93">
        <f>frac_PW_health_facility</f>
        <v>0.66099999999999992</v>
      </c>
      <c r="J18" s="93">
        <f>frac_PW_health_facility</f>
        <v>0.66099999999999992</v>
      </c>
      <c r="K18" s="93">
        <f>frac_PW_health_facility</f>
        <v>0.66099999999999992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5.0000000000000001E-3</v>
      </c>
      <c r="I19" s="93">
        <f>frac_malaria_risk</f>
        <v>5.0000000000000001E-3</v>
      </c>
      <c r="J19" s="93">
        <f>frac_malaria_risk</f>
        <v>5.0000000000000001E-3</v>
      </c>
      <c r="K19" s="93">
        <f>frac_malaria_risk</f>
        <v>5.0000000000000001E-3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0.249</v>
      </c>
      <c r="M24" s="93">
        <f>famplan_unmet_need</f>
        <v>0.249</v>
      </c>
      <c r="N24" s="93">
        <f>famplan_unmet_need</f>
        <v>0.249</v>
      </c>
      <c r="O24" s="93">
        <f>famplan_unmet_need</f>
        <v>0.249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4.3267749535534993E-2</v>
      </c>
      <c r="M25" s="93">
        <f>(1-food_insecure)*(0.49)+food_insecure*(0.7)</f>
        <v>0.49104999999999999</v>
      </c>
      <c r="N25" s="93">
        <f>(1-food_insecure)*(0.49)+food_insecure*(0.7)</f>
        <v>0.49104999999999999</v>
      </c>
      <c r="O25" s="93">
        <f>(1-food_insecure)*(0.49)+food_insecure*(0.7)</f>
        <v>0.49104999999999999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1.8543321229514995E-2</v>
      </c>
      <c r="M26" s="93">
        <f>(1-food_insecure)*(0.21)+food_insecure*(0.3)</f>
        <v>0.21045</v>
      </c>
      <c r="N26" s="93">
        <f>(1-food_insecure)*(0.21)+food_insecure*(0.3)</f>
        <v>0.21045</v>
      </c>
      <c r="O26" s="93">
        <f>(1-food_insecure)*(0.21)+food_insecure*(0.3)</f>
        <v>0.21045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2.6301645934949994E-2</v>
      </c>
      <c r="M27" s="93">
        <f>(1-food_insecure)*(0.3)</f>
        <v>0.29849999999999999</v>
      </c>
      <c r="N27" s="93">
        <f>(1-food_insecure)*(0.3)</f>
        <v>0.29849999999999999</v>
      </c>
      <c r="O27" s="93">
        <f>(1-food_insecure)*(0.3)</f>
        <v>0.29849999999999999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0.91188728330000002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5.0000000000000001E-3</v>
      </c>
      <c r="D34" s="93">
        <f t="shared" si="3"/>
        <v>5.0000000000000001E-3</v>
      </c>
      <c r="E34" s="93">
        <f t="shared" si="3"/>
        <v>5.0000000000000001E-3</v>
      </c>
      <c r="F34" s="93">
        <f t="shared" si="3"/>
        <v>5.0000000000000001E-3</v>
      </c>
      <c r="G34" s="93">
        <f t="shared" si="3"/>
        <v>5.0000000000000001E-3</v>
      </c>
      <c r="H34" s="93">
        <f t="shared" si="3"/>
        <v>5.0000000000000001E-3</v>
      </c>
      <c r="I34" s="93">
        <f t="shared" si="3"/>
        <v>5.0000000000000001E-3</v>
      </c>
      <c r="J34" s="93">
        <f t="shared" si="3"/>
        <v>5.0000000000000001E-3</v>
      </c>
      <c r="K34" s="93">
        <f t="shared" si="3"/>
        <v>5.0000000000000001E-3</v>
      </c>
      <c r="L34" s="93">
        <f t="shared" si="3"/>
        <v>5.0000000000000001E-3</v>
      </c>
      <c r="M34" s="93">
        <f t="shared" si="3"/>
        <v>5.0000000000000001E-3</v>
      </c>
      <c r="N34" s="93">
        <f t="shared" si="3"/>
        <v>5.0000000000000001E-3</v>
      </c>
      <c r="O34" s="93">
        <f t="shared" si="3"/>
        <v>5.0000000000000001E-3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zoomScale="85" zoomScaleNormal="85" workbookViewId="0">
      <selection activeCell="G31" sqref="G31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v>2.17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2.17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2.48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2.48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0.77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0.77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0.77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0.77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54"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F8" sqref="F8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0.88</v>
      </c>
      <c r="F7" s="121">
        <v>0.88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0.21</v>
      </c>
      <c r="E3" s="121">
        <v>0.21</v>
      </c>
      <c r="F3" s="121">
        <v>0.21</v>
      </c>
      <c r="G3" s="121">
        <v>0.21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F10" sqref="B10:F12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 x14ac:dyDescent="0.25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 x14ac:dyDescent="0.25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1</v>
      </c>
      <c r="G9" s="121">
        <v>1</v>
      </c>
      <c r="H9" s="121">
        <v>1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0.14000000000000001</v>
      </c>
      <c r="G10" s="121">
        <v>0.14000000000000001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1</v>
      </c>
      <c r="G11" s="121">
        <v>1</v>
      </c>
      <c r="H11" s="121">
        <v>1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0.14000000000000001</v>
      </c>
      <c r="G12" s="121">
        <v>0.14000000000000001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 x14ac:dyDescent="0.25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 x14ac:dyDescent="0.25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 x14ac:dyDescent="0.25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 x14ac:dyDescent="0.25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 x14ac:dyDescent="0.25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 x14ac:dyDescent="0.25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 x14ac:dyDescent="0.25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 x14ac:dyDescent="0.25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 x14ac:dyDescent="0.25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 x14ac:dyDescent="0.25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 x14ac:dyDescent="0.25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 x14ac:dyDescent="0.25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 x14ac:dyDescent="0.25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 x14ac:dyDescent="0.25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 x14ac:dyDescent="0.25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 x14ac:dyDescent="0.25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 x14ac:dyDescent="0.25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 x14ac:dyDescent="0.25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 x14ac:dyDescent="0.25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 x14ac:dyDescent="0.25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 x14ac:dyDescent="0.25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 x14ac:dyDescent="0.25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 x14ac:dyDescent="0.25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 x14ac:dyDescent="0.25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 x14ac:dyDescent="0.25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 x14ac:dyDescent="0.25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 x14ac:dyDescent="0.25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 x14ac:dyDescent="0.25">
      <c r="C53" s="53" t="s">
        <v>268</v>
      </c>
      <c r="D53" s="121">
        <v>0.88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Programs impacted population</vt:lpstr>
      <vt:lpstr>Reference programs</vt:lpstr>
      <vt:lpstr>Incidence of conditions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2020-09-11T23:55:38Z</dcterms:modified>
</cp:coreProperties>
</file>