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B0B07E5-C716-4595-876B-AF7301F82BA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4" i="2"/>
  <c r="A27" i="2"/>
  <c r="A19" i="2"/>
  <c r="A18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I2" i="2"/>
  <c r="H2" i="2"/>
  <c r="G2" i="2"/>
  <c r="A2" i="2"/>
  <c r="A40" i="2" s="1"/>
  <c r="C33" i="1"/>
  <c r="C20" i="1"/>
  <c r="A23" i="2" l="1"/>
  <c r="A26" i="2"/>
  <c r="A31" i="2"/>
  <c r="A35" i="2"/>
  <c r="A39" i="2"/>
  <c r="A3" i="2"/>
  <c r="A24" i="2"/>
  <c r="A16" i="2"/>
  <c r="A32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<sst xmlns="http://schemas.openxmlformats.org/spreadsheetml/2006/main" count="2092" uniqueCount="341">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</sst>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556810.19921875</v>
      </c>
    </row>
    <row r="8" spans="1:3" ht="15" customHeight="1" x14ac:dyDescent="0.2">
      <c r="B8" s="5" t="s">
        <v>44</v>
      </c>
      <c r="C8" s="44">
        <v>0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0.96395172119140593</v>
      </c>
    </row>
    <row r="11" spans="1:3" ht="15" customHeight="1" x14ac:dyDescent="0.2">
      <c r="B11" s="5" t="s">
        <v>49</v>
      </c>
      <c r="C11" s="45">
        <v>0.997</v>
      </c>
    </row>
    <row r="12" spans="1:3" ht="15" customHeight="1" x14ac:dyDescent="0.2">
      <c r="B12" s="5" t="s">
        <v>41</v>
      </c>
      <c r="C12" s="45">
        <v>0.93400000000000005</v>
      </c>
    </row>
    <row r="13" spans="1:3" ht="15" customHeight="1" x14ac:dyDescent="0.2">
      <c r="B13" s="5" t="s">
        <v>62</v>
      </c>
      <c r="C13" s="45">
        <v>0.25800000000000001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5.7299999999999997E-2</v>
      </c>
    </row>
    <row r="24" spans="1:3" ht="15" customHeight="1" x14ac:dyDescent="0.2">
      <c r="B24" s="15" t="s">
        <v>46</v>
      </c>
      <c r="C24" s="45">
        <v>0.57350000000000001</v>
      </c>
    </row>
    <row r="25" spans="1:3" ht="15" customHeight="1" x14ac:dyDescent="0.2">
      <c r="B25" s="15" t="s">
        <v>47</v>
      </c>
      <c r="C25" s="45">
        <v>0.35089999999999999</v>
      </c>
    </row>
    <row r="26" spans="1:3" ht="15" customHeight="1" x14ac:dyDescent="0.2">
      <c r="B26" s="15" t="s">
        <v>48</v>
      </c>
      <c r="C26" s="45">
        <v>1.83E-2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1.2143297117327601</v>
      </c>
    </row>
    <row r="38" spans="1:5" ht="15" customHeight="1" x14ac:dyDescent="0.2">
      <c r="B38" s="11" t="s">
        <v>35</v>
      </c>
      <c r="C38" s="43">
        <v>2.42191846824932</v>
      </c>
      <c r="D38" s="12"/>
      <c r="E38" s="13"/>
    </row>
    <row r="39" spans="1:5" ht="15" customHeight="1" x14ac:dyDescent="0.2">
      <c r="B39" s="11" t="s">
        <v>61</v>
      </c>
      <c r="C39" s="43">
        <v>3.2302855332426699</v>
      </c>
      <c r="D39" s="12"/>
      <c r="E39" s="12"/>
    </row>
    <row r="40" spans="1:5" ht="15" customHeight="1" x14ac:dyDescent="0.2">
      <c r="B40" s="11" t="s">
        <v>36</v>
      </c>
      <c r="C40" s="100">
        <v>0.02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2.0198738170000001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2.11395375E-2</v>
      </c>
      <c r="D45" s="12"/>
    </row>
    <row r="46" spans="1:5" ht="15.75" customHeight="1" x14ac:dyDescent="0.2">
      <c r="B46" s="11" t="s">
        <v>51</v>
      </c>
      <c r="C46" s="45">
        <v>7.4799499999999991E-2</v>
      </c>
      <c r="D46" s="12"/>
    </row>
    <row r="47" spans="1:5" ht="15.75" customHeight="1" x14ac:dyDescent="0.2">
      <c r="B47" s="11" t="s">
        <v>59</v>
      </c>
      <c r="C47" s="45">
        <v>0.13228186250000001</v>
      </c>
      <c r="D47" s="12"/>
      <c r="E47" s="13"/>
    </row>
    <row r="48" spans="1:5" ht="15" customHeight="1" x14ac:dyDescent="0.2">
      <c r="B48" s="11" t="s">
        <v>58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0.64647999999999994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5.0638231999999901E-2</v>
      </c>
    </row>
    <row r="63" spans="1:4" ht="15.75" customHeight="1" x14ac:dyDescent="0.2">
      <c r="A63" s="4"/>
    </row>
  </sheetData>
  <sheetProtection algorithmName="SHA-512" hashValue="+VO2Bb30M+wMZUYyGD3cO6KJHmiUGkmqlN/GYYtUZOYqvEIME610CKsVUqLUMaabDpM7AgvUm0s/KTqLZSEn3Q==" saltValue="6X5Re6djCKeWY5ZPqQd9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0.7725346431936021</v>
      </c>
      <c r="C2" s="98">
        <v>0.95</v>
      </c>
      <c r="D2" s="56">
        <v>63.421848665062683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40.000995134003318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498.94277630498448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12.853065365559271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0.23939070586376199</v>
      </c>
      <c r="C10" s="98">
        <v>0.95</v>
      </c>
      <c r="D10" s="56">
        <v>13.13329457779923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0.23939070586376199</v>
      </c>
      <c r="C11" s="98">
        <v>0.95</v>
      </c>
      <c r="D11" s="56">
        <v>13.13329457779923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0.23939070586376199</v>
      </c>
      <c r="C12" s="98">
        <v>0.95</v>
      </c>
      <c r="D12" s="56">
        <v>13.13329457779923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0.23939070586376199</v>
      </c>
      <c r="C13" s="98">
        <v>0.95</v>
      </c>
      <c r="D13" s="56">
        <v>13.13329457779923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0.23939070586376199</v>
      </c>
      <c r="C14" s="98">
        <v>0.95</v>
      </c>
      <c r="D14" s="56">
        <v>13.13329457779923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0.23939070586376199</v>
      </c>
      <c r="C15" s="98">
        <v>0.95</v>
      </c>
      <c r="D15" s="56">
        <v>13.13329457779923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0.84006037769458042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11.47697383223603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11.47697383223603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0.99904859999999995</v>
      </c>
      <c r="C21" s="98">
        <v>0.95</v>
      </c>
      <c r="D21" s="56">
        <v>134.72675449417599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22.72737563050903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4.355034620978258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0.25253850605939998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0.18670979754929501</v>
      </c>
      <c r="C27" s="98">
        <v>0.95</v>
      </c>
      <c r="D27" s="56">
        <v>18.696975825051741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0.97790951975028406</v>
      </c>
      <c r="C29" s="98">
        <v>0.95</v>
      </c>
      <c r="D29" s="56">
        <v>125.9554584200983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0.8476197124550896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0.33461540220000002</v>
      </c>
      <c r="C32" s="98">
        <v>0.95</v>
      </c>
      <c r="D32" s="56">
        <v>1.8161937938239601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0.55986999999999998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2.018253434489619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0.92902491058475212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fzugQ4j/pKBaaAHrB0rYp2EoSRkGvjOQYJ4dLyjuDnbZNoc7GOXGfgbAbGgamAAbDPtCXdyyI77A6IwSO4p2wQ==" saltValue="X6oUcijdtoYiE/EwoZfc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Cp0o4Xvfxk/NksjFoa6I6qfPVfdVeJVxwlygB/4Fw9wixCW13CBNPx6rLkbNJ41Wq40jO2FkhwwmnTOeYzwYg==" saltValue="VQm7DOYqjo+HqxNjaozMu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6Lu1t2+OzRPpwWPLZlyNtaP9fZlgDvExzLtXJXVeoKFTPNfqqCxnKvtgtIV3vmnaHOB2WSsV75oC7AiwaPhk1Q==" saltValue="Kk0sHsRC6Yg9WUHiCXAZX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0.15675754845142367</v>
      </c>
      <c r="C3" s="21">
        <f>frac_mam_1_5months * 2.6</f>
        <v>0.15675754845142367</v>
      </c>
      <c r="D3" s="21">
        <f>frac_mam_6_11months * 2.6</f>
        <v>2.7388665452599621E-2</v>
      </c>
      <c r="E3" s="21">
        <f>frac_mam_12_23months * 2.6</f>
        <v>3.6561623681336517E-3</v>
      </c>
      <c r="F3" s="21">
        <f>frac_mam_24_59months * 2.6</f>
        <v>3.5138366185128701E-2</v>
      </c>
    </row>
    <row r="4" spans="1:6" ht="15.75" customHeight="1" x14ac:dyDescent="0.2">
      <c r="A4" s="3" t="s">
        <v>207</v>
      </c>
      <c r="B4" s="21">
        <f>frac_sam_1month * 2.6</f>
        <v>5.2326776832342221E-2</v>
      </c>
      <c r="C4" s="21">
        <f>frac_sam_1_5months * 2.6</f>
        <v>5.2326776832342221E-2</v>
      </c>
      <c r="D4" s="21">
        <f>frac_sam_6_11months * 2.6</f>
        <v>1.7485990934073922E-2</v>
      </c>
      <c r="E4" s="21">
        <f>frac_sam_12_23months * 2.6</f>
        <v>3.3277828944846982E-3</v>
      </c>
      <c r="F4" s="21">
        <f>frac_sam_24_59months * 2.6</f>
        <v>1.5166209079325199E-2</v>
      </c>
    </row>
  </sheetData>
  <sheetProtection algorithmName="SHA-512" hashValue="GhvYDcFqUkcsnZNc4lFazowmIAEr6ByaTpe8zWvcCGzkg00S16VpE6BI1TG2PAjnePBEHHYTSWedlvWibrasqg==" saltValue="Y5mAKD3Pbh+Qzq14yZiu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0.93400000000000005</v>
      </c>
      <c r="E10" s="60">
        <f>IF(ISBLANK(comm_deliv), frac_children_health_facility,1)</f>
        <v>0.93400000000000005</v>
      </c>
      <c r="F10" s="60">
        <f>IF(ISBLANK(comm_deliv), frac_children_health_facility,1)</f>
        <v>0.93400000000000005</v>
      </c>
      <c r="G10" s="60">
        <f>IF(ISBLANK(comm_deliv), frac_children_health_facility,1)</f>
        <v>0.93400000000000005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0.997</v>
      </c>
      <c r="I18" s="60">
        <f>frac_PW_health_facility</f>
        <v>0.997</v>
      </c>
      <c r="J18" s="60">
        <f>frac_PW_health_facility</f>
        <v>0.997</v>
      </c>
      <c r="K18" s="60">
        <f>frac_PW_health_facility</f>
        <v>0.997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0.25800000000000001</v>
      </c>
      <c r="M24" s="60">
        <f>famplan_unmet_need</f>
        <v>0.25800000000000001</v>
      </c>
      <c r="N24" s="60">
        <f>famplan_unmet_need</f>
        <v>0.25800000000000001</v>
      </c>
      <c r="O24" s="60">
        <f>famplan_unmet_need</f>
        <v>0.25800000000000001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1.7663656616211092E-2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7.5701385498047544E-3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1.0814483642578221E-2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0.96395172119140593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MUAqSjzQ95x2NL+RFB0djVPYOXV2NP6KIgobCzUxYBalnoFHI2Xvxn9kta4TCKOWI8HQxl+vAsHrjFs/8Bcmg==" saltValue="xYrVQ/V34zsyG02Hr4Po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52V9B+hc2bj8z8idWNLs4/rSAyOKmLXMajffKvbnQ+AXwvIN/HwCYSNaRMDwSrHrchl0A83eZWOGCMBc866VYg==" saltValue="skf/lxrbhIPciHqlZ1Nt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SAYvlDPBdLwGkSOMgfelgi/djYYgyJmBKcGee1wYwesmbHJZa5+cL9ORYj1Dch5Fdnin8lKPq+JKpIzCl74Jw==" saltValue="mkxI8N83UnmckJEMxdnK/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+GfAsWKpoBJrMfu8GQz0J7MWP07x9Jss8+z7geEB9STKBjdP4fiTli1K6PwjKCoV3ZZXhiXp+H5LxgV7uf4Hiw==" saltValue="cWVirI2PtxTpJD65mTbkT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SeCYZjLYh7/1/Vd7zwhgmeTjHifv4rDXls73rKTpuWzgaVb/a+JPvQWNZE7Uds230kXK67lpOd6QbTYZ+9hiA==" saltValue="vY/zjKS8LEjv6NAOlixAq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xe6ovXUmAgS8U0aVvMmkJ2p3wY2naqSvP4juTa/s4BsC7cr8lPMhHzAOJRFr1Gw+pz3CASZpagLoaq14POY/Q==" saltValue="ceedolsUOKLJWx/ysaDyQ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105592.045</v>
      </c>
      <c r="C2" s="49">
        <v>221000</v>
      </c>
      <c r="D2" s="49">
        <v>500000</v>
      </c>
      <c r="E2" s="49">
        <v>742000</v>
      </c>
      <c r="F2" s="49">
        <v>680000</v>
      </c>
      <c r="G2" s="17">
        <f t="shared" ref="G2:G11" si="0">C2+D2+E2+F2</f>
        <v>2143000</v>
      </c>
      <c r="H2" s="17">
        <f t="shared" ref="H2:H11" si="1">(B2 + stillbirth*B2/(1000-stillbirth))/(1-abortion)</f>
        <v>120233.81736689007</v>
      </c>
      <c r="I2" s="17">
        <f t="shared" ref="I2:I11" si="2">G2-H2</f>
        <v>2022766.1826331099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103537.764</v>
      </c>
      <c r="C3" s="50">
        <v>227000</v>
      </c>
      <c r="D3" s="50">
        <v>479000</v>
      </c>
      <c r="E3" s="50">
        <v>731000</v>
      </c>
      <c r="F3" s="50">
        <v>685000</v>
      </c>
      <c r="G3" s="17">
        <f t="shared" si="0"/>
        <v>2122000</v>
      </c>
      <c r="H3" s="17">
        <f t="shared" si="1"/>
        <v>117894.68238210713</v>
      </c>
      <c r="I3" s="17">
        <f t="shared" si="2"/>
        <v>2004105.3176178928</v>
      </c>
    </row>
    <row r="4" spans="1:9" ht="15.75" customHeight="1" x14ac:dyDescent="0.2">
      <c r="A4" s="5">
        <f t="shared" si="3"/>
        <v>2023</v>
      </c>
      <c r="B4" s="49">
        <v>101480.4528</v>
      </c>
      <c r="C4" s="50">
        <v>234000</v>
      </c>
      <c r="D4" s="50">
        <v>462000</v>
      </c>
      <c r="E4" s="50">
        <v>715000</v>
      </c>
      <c r="F4" s="50">
        <v>691000</v>
      </c>
      <c r="G4" s="17">
        <f t="shared" si="0"/>
        <v>2102000</v>
      </c>
      <c r="H4" s="17">
        <f t="shared" si="1"/>
        <v>115552.09701890429</v>
      </c>
      <c r="I4" s="17">
        <f t="shared" si="2"/>
        <v>1986447.9029810957</v>
      </c>
    </row>
    <row r="5" spans="1:9" ht="15.75" customHeight="1" x14ac:dyDescent="0.2">
      <c r="A5" s="5">
        <f t="shared" si="3"/>
        <v>2024</v>
      </c>
      <c r="B5" s="49">
        <v>99420.695200000016</v>
      </c>
      <c r="C5" s="50">
        <v>242000</v>
      </c>
      <c r="D5" s="50">
        <v>450000</v>
      </c>
      <c r="E5" s="50">
        <v>696000</v>
      </c>
      <c r="F5" s="50">
        <v>697000</v>
      </c>
      <c r="G5" s="17">
        <f t="shared" si="0"/>
        <v>2085000</v>
      </c>
      <c r="H5" s="17">
        <f t="shared" si="1"/>
        <v>113206.72602908719</v>
      </c>
      <c r="I5" s="17">
        <f t="shared" si="2"/>
        <v>1971793.2739709129</v>
      </c>
    </row>
    <row r="6" spans="1:9" ht="15.75" customHeight="1" x14ac:dyDescent="0.2">
      <c r="A6" s="5">
        <f t="shared" si="3"/>
        <v>2025</v>
      </c>
      <c r="B6" s="49">
        <v>97359.074999999997</v>
      </c>
      <c r="C6" s="50">
        <v>250000</v>
      </c>
      <c r="D6" s="50">
        <v>443000</v>
      </c>
      <c r="E6" s="50">
        <v>673000</v>
      </c>
      <c r="F6" s="50">
        <v>706000</v>
      </c>
      <c r="G6" s="17">
        <f t="shared" si="0"/>
        <v>2072000</v>
      </c>
      <c r="H6" s="17">
        <f t="shared" si="1"/>
        <v>110859.23416446146</v>
      </c>
      <c r="I6" s="17">
        <f t="shared" si="2"/>
        <v>1961140.7658355385</v>
      </c>
    </row>
    <row r="7" spans="1:9" ht="15.75" customHeight="1" x14ac:dyDescent="0.2">
      <c r="A7" s="5">
        <f t="shared" si="3"/>
        <v>2026</v>
      </c>
      <c r="B7" s="49">
        <v>95737.640000000014</v>
      </c>
      <c r="C7" s="50">
        <v>257000</v>
      </c>
      <c r="D7" s="50">
        <v>441000</v>
      </c>
      <c r="E7" s="50">
        <v>645000</v>
      </c>
      <c r="F7" s="50">
        <v>714000</v>
      </c>
      <c r="G7" s="17">
        <f t="shared" si="0"/>
        <v>2057000</v>
      </c>
      <c r="H7" s="17">
        <f t="shared" si="1"/>
        <v>109012.96516131562</v>
      </c>
      <c r="I7" s="17">
        <f t="shared" si="2"/>
        <v>1947987.0348386844</v>
      </c>
    </row>
    <row r="8" spans="1:9" ht="15.75" customHeight="1" x14ac:dyDescent="0.2">
      <c r="A8" s="5">
        <f t="shared" si="3"/>
        <v>2027</v>
      </c>
      <c r="B8" s="49">
        <v>94103.47500000002</v>
      </c>
      <c r="C8" s="50">
        <v>265000</v>
      </c>
      <c r="D8" s="50">
        <v>443000</v>
      </c>
      <c r="E8" s="50">
        <v>615000</v>
      </c>
      <c r="F8" s="50">
        <v>724000</v>
      </c>
      <c r="G8" s="17">
        <f t="shared" si="0"/>
        <v>2047000</v>
      </c>
      <c r="H8" s="17">
        <f t="shared" si="1"/>
        <v>107152.20097062907</v>
      </c>
      <c r="I8" s="17">
        <f t="shared" si="2"/>
        <v>1939847.799029371</v>
      </c>
    </row>
    <row r="9" spans="1:9" ht="15.75" customHeight="1" x14ac:dyDescent="0.2">
      <c r="A9" s="5">
        <f t="shared" si="3"/>
        <v>2028</v>
      </c>
      <c r="B9" s="49">
        <v>92457.450000000012</v>
      </c>
      <c r="C9" s="50">
        <v>272000</v>
      </c>
      <c r="D9" s="50">
        <v>449000</v>
      </c>
      <c r="E9" s="50">
        <v>582000</v>
      </c>
      <c r="F9" s="50">
        <v>732000</v>
      </c>
      <c r="G9" s="17">
        <f t="shared" si="0"/>
        <v>2035000</v>
      </c>
      <c r="H9" s="17">
        <f t="shared" si="1"/>
        <v>105277.93222972783</v>
      </c>
      <c r="I9" s="17">
        <f t="shared" si="2"/>
        <v>1929722.0677702723</v>
      </c>
    </row>
    <row r="10" spans="1:9" ht="15.75" customHeight="1" x14ac:dyDescent="0.2">
      <c r="A10" s="5">
        <f t="shared" si="3"/>
        <v>2029</v>
      </c>
      <c r="B10" s="49">
        <v>90800.435000000012</v>
      </c>
      <c r="C10" s="50">
        <v>277000</v>
      </c>
      <c r="D10" s="50">
        <v>458000</v>
      </c>
      <c r="E10" s="50">
        <v>551000</v>
      </c>
      <c r="F10" s="50">
        <v>737000</v>
      </c>
      <c r="G10" s="17">
        <f t="shared" si="0"/>
        <v>2023000</v>
      </c>
      <c r="H10" s="17">
        <f t="shared" si="1"/>
        <v>103391.14957593798</v>
      </c>
      <c r="I10" s="17">
        <f t="shared" si="2"/>
        <v>1919608.850424062</v>
      </c>
    </row>
    <row r="11" spans="1:9" ht="15.75" customHeight="1" x14ac:dyDescent="0.2">
      <c r="A11" s="5">
        <f t="shared" si="3"/>
        <v>2030</v>
      </c>
      <c r="B11" s="49">
        <v>89143</v>
      </c>
      <c r="C11" s="50">
        <v>280000</v>
      </c>
      <c r="D11" s="50">
        <v>468000</v>
      </c>
      <c r="E11" s="50">
        <v>524000</v>
      </c>
      <c r="F11" s="50">
        <v>736000</v>
      </c>
      <c r="G11" s="17">
        <f t="shared" si="0"/>
        <v>2008000</v>
      </c>
      <c r="H11" s="17">
        <f t="shared" si="1"/>
        <v>101503.88868343899</v>
      </c>
      <c r="I11" s="17">
        <f t="shared" si="2"/>
        <v>1906496.111316561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y+YSDybtVTL380kxPLu2gF3lRdY3HbkaiiXxo7thnPu7BBRN1MaNk16/mdd1QWqHOOQXVx6fQiiiUW0D7fiJQ==" saltValue="whk2yoCkdn+VZOxlhXoz3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LQruD5hHWJ6qd2m939T1bJBzRGgAUHdYUuEU67dtJWQff16CGRrgWrAuGmkzUyWKiDOJxZvLDVP7r110l/6z5A==" saltValue="ekgo4BpcDApsCwSo9qZBI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7OwLpOW+8/DCMm+3yrt89Jrxpgw4LI4Qoz8KOrOPnUqJ63ZPVtdTp6KpWBe5DhJvVNGFl7nzeblk9kJtN2Xa2w==" saltValue="ieTtp4zJivV6KxCBOwFC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i4tbrUBNrNJkGDoMAcZU/4ntg/zpiy7kMSEKj9TP5FppAtYWm/992krm32GjFWgQ+dB9gkwTaDQrDmhpRPsx2w==" saltValue="WtSoPseGX/Pq/DPfkd+g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uAcyy/iwIOhIBMa1bRVjPRnJFABDCV0XNdw1FC12CKHPfKNCVyMpTLbWflARFzhopVF+tkdnZxJ9gfr0SNT09w==" saltValue="kkfZk9CPl1JrZU4yQdlv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cij05WeBUXjMibjTPuHS5vI/NkyEFyl+KWsldj8e8aQb1rT8ELsxGS/ZERpUzB8ppLlASnQBIMs+MArF7KseXw==" saltValue="3K8BMsLdqDZ8hRmIopH1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3tbcooFVVH6KRWnTrP1UWhuCBt/I/qkQM+qCPWncMNBeEG1DVId1JstSuJOxW7GueSUwbLzdoxFRL/T6tYS9w==" saltValue="0cq8IAeaJYTpmcPYJNaD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+J2RORwcIxCiE+mIeD1muj8wyDwQ5q7jGx85HPi3bb6wmMqvHWFRIKeYliYAYqsfTtw8JoGHmbGnUP+ijrh4pQ==" saltValue="ofVdeHl+V5vBKE2mz5EmD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MFelXIQqdDYL9UQKEHQtbURWzprjLEMo05O8SqDN8+gTIuXTL+TikWKkzkKQeUVgUtuzAMvSF2qH7P3GtPKPjw==" saltValue="RiT8kOBn7SkSJt6QbzFR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EpGHJPb3i7hoFx77Vq0LGCtbKTg4DIJ1odd6+USPcG0RoSloBNkEZ6Au8lm3oPbhSPvpj9CAHsCJRC5yxHGa2w==" saltValue="+jpxJofGWf4+WRO/Ljc/j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4.6480212285335547E-2</v>
      </c>
    </row>
    <row r="5" spans="1:8" ht="15.75" customHeight="1" x14ac:dyDescent="0.2">
      <c r="B5" s="19" t="s">
        <v>95</v>
      </c>
      <c r="C5" s="101">
        <v>2.603111562933276E-2</v>
      </c>
    </row>
    <row r="6" spans="1:8" ht="15.75" customHeight="1" x14ac:dyDescent="0.2">
      <c r="B6" s="19" t="s">
        <v>91</v>
      </c>
      <c r="C6" s="101">
        <v>0.10710612744221421</v>
      </c>
    </row>
    <row r="7" spans="1:8" ht="15.75" customHeight="1" x14ac:dyDescent="0.2">
      <c r="B7" s="19" t="s">
        <v>96</v>
      </c>
      <c r="C7" s="101">
        <v>0.38308882548127599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0.32581766099571069</v>
      </c>
    </row>
    <row r="10" spans="1:8" ht="15.75" customHeight="1" x14ac:dyDescent="0.2">
      <c r="B10" s="19" t="s">
        <v>94</v>
      </c>
      <c r="C10" s="101">
        <v>0.1114760581661306</v>
      </c>
    </row>
    <row r="11" spans="1:8" ht="15.75" customHeight="1" x14ac:dyDescent="0.2">
      <c r="B11" s="27" t="s">
        <v>60</v>
      </c>
      <c r="C11" s="48">
        <f>SUM(C3:C10)</f>
        <v>0.99999999999999967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8.9167621376999347E-3</v>
      </c>
      <c r="D14" s="55">
        <v>8.9167621376999347E-3</v>
      </c>
      <c r="E14" s="55">
        <v>8.9167621376999347E-3</v>
      </c>
      <c r="F14" s="55">
        <v>8.9167621376999347E-3</v>
      </c>
    </row>
    <row r="15" spans="1:8" ht="15.75" customHeight="1" x14ac:dyDescent="0.2">
      <c r="B15" s="19" t="s">
        <v>102</v>
      </c>
      <c r="C15" s="101">
        <v>7.2608640702391494E-2</v>
      </c>
      <c r="D15" s="101">
        <v>7.2608640702391494E-2</v>
      </c>
      <c r="E15" s="101">
        <v>7.2608640702391494E-2</v>
      </c>
      <c r="F15" s="101">
        <v>7.2608640702391494E-2</v>
      </c>
    </row>
    <row r="16" spans="1:8" ht="15.75" customHeight="1" x14ac:dyDescent="0.2">
      <c r="B16" s="19" t="s">
        <v>2</v>
      </c>
      <c r="C16" s="101">
        <v>1.5522003399499121E-2</v>
      </c>
      <c r="D16" s="101">
        <v>1.5522003399499121E-2</v>
      </c>
      <c r="E16" s="101">
        <v>1.5522003399499121E-2</v>
      </c>
      <c r="F16" s="101">
        <v>1.5522003399499121E-2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1.8957819536784611E-2</v>
      </c>
      <c r="D19" s="101">
        <v>1.8957819536784611E-2</v>
      </c>
      <c r="E19" s="101">
        <v>1.8957819536784611E-2</v>
      </c>
      <c r="F19" s="101">
        <v>1.8957819536784611E-2</v>
      </c>
    </row>
    <row r="20" spans="1:8" ht="15.75" customHeight="1" x14ac:dyDescent="0.2">
      <c r="B20" s="19" t="s">
        <v>79</v>
      </c>
      <c r="C20" s="101">
        <v>0.13435489756128691</v>
      </c>
      <c r="D20" s="101">
        <v>0.13435489756128691</v>
      </c>
      <c r="E20" s="101">
        <v>0.13435489756128691</v>
      </c>
      <c r="F20" s="101">
        <v>0.13435489756128691</v>
      </c>
    </row>
    <row r="21" spans="1:8" ht="15.75" customHeight="1" x14ac:dyDescent="0.2">
      <c r="B21" s="19" t="s">
        <v>88</v>
      </c>
      <c r="C21" s="101">
        <v>0.115809525482959</v>
      </c>
      <c r="D21" s="101">
        <v>0.115809525482959</v>
      </c>
      <c r="E21" s="101">
        <v>0.115809525482959</v>
      </c>
      <c r="F21" s="101">
        <v>0.115809525482959</v>
      </c>
    </row>
    <row r="22" spans="1:8" ht="15.75" customHeight="1" x14ac:dyDescent="0.2">
      <c r="B22" s="19" t="s">
        <v>99</v>
      </c>
      <c r="C22" s="101">
        <v>0.63383035117937891</v>
      </c>
      <c r="D22" s="101">
        <v>0.63383035117937891</v>
      </c>
      <c r="E22" s="101">
        <v>0.63383035117937891</v>
      </c>
      <c r="F22" s="101">
        <v>0.63383035117937891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5.5138011000000001E-2</v>
      </c>
    </row>
    <row r="27" spans="1:8" ht="15.75" customHeight="1" x14ac:dyDescent="0.2">
      <c r="B27" s="19" t="s">
        <v>89</v>
      </c>
      <c r="C27" s="101">
        <v>5.8021491999999987E-2</v>
      </c>
    </row>
    <row r="28" spans="1:8" ht="15.75" customHeight="1" x14ac:dyDescent="0.2">
      <c r="B28" s="19" t="s">
        <v>103</v>
      </c>
      <c r="C28" s="101">
        <v>0.12039119400000001</v>
      </c>
    </row>
    <row r="29" spans="1:8" ht="15.75" customHeight="1" x14ac:dyDescent="0.2">
      <c r="B29" s="19" t="s">
        <v>86</v>
      </c>
      <c r="C29" s="101">
        <v>0.13459314</v>
      </c>
    </row>
    <row r="30" spans="1:8" ht="15.75" customHeight="1" x14ac:dyDescent="0.2">
      <c r="B30" s="19" t="s">
        <v>4</v>
      </c>
      <c r="C30" s="101">
        <v>8.1866218000000004E-2</v>
      </c>
    </row>
    <row r="31" spans="1:8" ht="15.75" customHeight="1" x14ac:dyDescent="0.2">
      <c r="B31" s="19" t="s">
        <v>80</v>
      </c>
      <c r="C31" s="101">
        <v>6.5181787000000005E-2</v>
      </c>
    </row>
    <row r="32" spans="1:8" ht="15.75" customHeight="1" x14ac:dyDescent="0.2">
      <c r="B32" s="19" t="s">
        <v>85</v>
      </c>
      <c r="C32" s="101">
        <v>0.13227402499999999</v>
      </c>
    </row>
    <row r="33" spans="2:3" ht="15.75" customHeight="1" x14ac:dyDescent="0.2">
      <c r="B33" s="19" t="s">
        <v>100</v>
      </c>
      <c r="C33" s="101">
        <v>0.124908043</v>
      </c>
    </row>
    <row r="34" spans="2:3" ht="15.75" customHeight="1" x14ac:dyDescent="0.2">
      <c r="B34" s="19" t="s">
        <v>87</v>
      </c>
      <c r="C34" s="101">
        <v>0.22762609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El3epF9zsIzBCqOx/6wf23TEvk1bRgcqXgdADflDHT8AfJ/vpWt54csCvezDo9MBHjnL3aVNJAz29tnGdtj1pA==" saltValue="fTZ7+2Pz3YyTW9G/W2cA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0.63739771560093594</v>
      </c>
      <c r="D2" s="52">
        <f>IFERROR(1-_xlfn.NORM.DIST(_xlfn.NORM.INV(SUM(D4:D5), 0, 1) + 1, 0, 1, TRUE), "")</f>
        <v>0.63739771560093594</v>
      </c>
      <c r="E2" s="52">
        <f>IFERROR(1-_xlfn.NORM.DIST(_xlfn.NORM.INV(SUM(E4:E5), 0, 1) + 1, 0, 1, TRUE), "")</f>
        <v>0.70788254877315571</v>
      </c>
      <c r="F2" s="52">
        <f>IFERROR(1-_xlfn.NORM.DIST(_xlfn.NORM.INV(SUM(F4:F5), 0, 1) + 1, 0, 1, TRUE), "")</f>
        <v>0.77522167912424411</v>
      </c>
      <c r="G2" s="52">
        <f>IFERROR(1-_xlfn.NORM.DIST(_xlfn.NORM.INV(SUM(G4:G5), 0, 1) + 1, 0, 1, TRUE), "")</f>
        <v>0.78753164793855035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0.27433648168781566</v>
      </c>
      <c r="D3" s="52">
        <f>IFERROR(_xlfn.NORM.DIST(_xlfn.NORM.INV(SUM(D4:D5), 0, 1) + 1, 0, 1, TRUE) - SUM(D4:D5), "")</f>
        <v>0.27433648168781566</v>
      </c>
      <c r="E3" s="52">
        <f>IFERROR(_xlfn.NORM.DIST(_xlfn.NORM.INV(SUM(E4:E5), 0, 1) + 1, 0, 1, TRUE) - SUM(E4:E5), "")</f>
        <v>0.23121106708659114</v>
      </c>
      <c r="F3" s="52">
        <f>IFERROR(_xlfn.NORM.DIST(_xlfn.NORM.INV(SUM(F4:F5), 0, 1) + 1, 0, 1, TRUE) - SUM(F4:F5), "")</f>
        <v>0.18524729484020858</v>
      </c>
      <c r="G3" s="52">
        <f>IFERROR(_xlfn.NORM.DIST(_xlfn.NORM.INV(SUM(G4:G5), 0, 1) + 1, 0, 1, TRUE) - SUM(G4:G5), "")</f>
        <v>0.17637080688470522</v>
      </c>
    </row>
    <row r="4" spans="1:15" ht="15.75" customHeight="1" x14ac:dyDescent="0.2">
      <c r="B4" s="5" t="s">
        <v>110</v>
      </c>
      <c r="C4" s="45">
        <v>7.9701721668243394E-2</v>
      </c>
      <c r="D4" s="53">
        <v>7.9701721668243394E-2</v>
      </c>
      <c r="E4" s="53">
        <v>2.3631364107132E-2</v>
      </c>
      <c r="F4" s="53">
        <v>2.18412522226572E-2</v>
      </c>
      <c r="G4" s="53">
        <v>2.8631579130887999E-2</v>
      </c>
    </row>
    <row r="5" spans="1:15" ht="15.75" customHeight="1" x14ac:dyDescent="0.2">
      <c r="B5" s="5" t="s">
        <v>106</v>
      </c>
      <c r="C5" s="45">
        <v>8.5640810430049896E-3</v>
      </c>
      <c r="D5" s="53">
        <v>8.5640810430049896E-3</v>
      </c>
      <c r="E5" s="53">
        <v>3.7275020033121102E-2</v>
      </c>
      <c r="F5" s="53">
        <v>1.7689773812890101E-2</v>
      </c>
      <c r="G5" s="53">
        <v>7.4659660458564802E-3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0.65625799904397775</v>
      </c>
      <c r="D8" s="52">
        <f>IFERROR(1-_xlfn.NORM.DIST(_xlfn.NORM.INV(SUM(D10:D11), 0, 1) + 1, 0, 1, TRUE), "")</f>
        <v>0.65625799904397775</v>
      </c>
      <c r="E8" s="52">
        <f>IFERROR(1-_xlfn.NORM.DIST(_xlfn.NORM.INV(SUM(E10:E11), 0, 1) + 1, 0, 1, TRUE), "")</f>
        <v>0.86735111675932408</v>
      </c>
      <c r="F8" s="52">
        <f>IFERROR(1-_xlfn.NORM.DIST(_xlfn.NORM.INV(SUM(F10:F11), 0, 1) + 1, 0, 1, TRUE), "")</f>
        <v>0.96277363059099486</v>
      </c>
      <c r="G8" s="52">
        <f>IFERROR(1-_xlfn.NORM.DIST(_xlfn.NORM.INV(SUM(G10:G11), 0, 1) + 1, 0, 1, TRUE), "")</f>
        <v>0.85710593658923317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0.26332495276995849</v>
      </c>
      <c r="D9" s="52">
        <f>IFERROR(_xlfn.NORM.DIST(_xlfn.NORM.INV(SUM(D10:D11), 0, 1) + 1, 0, 1, TRUE) - SUM(D10:D11), "")</f>
        <v>0.26332495276995849</v>
      </c>
      <c r="E9" s="52">
        <f>IFERROR(_xlfn.NORM.DIST(_xlfn.NORM.INV(SUM(E10:E11), 0, 1) + 1, 0, 1, TRUE) - SUM(E10:E11), "")</f>
        <v>0.11538940001503223</v>
      </c>
      <c r="F9" s="52">
        <f>IFERROR(_xlfn.NORM.DIST(_xlfn.NORM.INV(SUM(F10:F11), 0, 1) + 1, 0, 1, TRUE) - SUM(F10:F11), "")</f>
        <v>3.4540236615690348E-2</v>
      </c>
      <c r="G9" s="52">
        <f>IFERROR(_xlfn.NORM.DIST(_xlfn.NORM.INV(SUM(G10:G11), 0, 1) + 1, 0, 1, TRUE) - SUM(G10:G11), "")</f>
        <v>0.12354614984751533</v>
      </c>
    </row>
    <row r="10" spans="1:15" ht="15.75" customHeight="1" x14ac:dyDescent="0.2">
      <c r="B10" s="5" t="s">
        <v>107</v>
      </c>
      <c r="C10" s="45">
        <v>6.0291364789009101E-2</v>
      </c>
      <c r="D10" s="53">
        <v>6.0291364789009101E-2</v>
      </c>
      <c r="E10" s="53">
        <v>1.05341020971537E-2</v>
      </c>
      <c r="F10" s="53">
        <v>1.4062162954360199E-3</v>
      </c>
      <c r="G10" s="53">
        <v>1.3514756225049499E-2</v>
      </c>
    </row>
    <row r="11" spans="1:15" ht="15.75" customHeight="1" x14ac:dyDescent="0.2">
      <c r="B11" s="5" t="s">
        <v>119</v>
      </c>
      <c r="C11" s="45">
        <v>2.01256833970547E-2</v>
      </c>
      <c r="D11" s="53">
        <v>2.01256833970547E-2</v>
      </c>
      <c r="E11" s="53">
        <v>6.7253811284899703E-3</v>
      </c>
      <c r="F11" s="53">
        <v>1.2799164978787301E-3</v>
      </c>
      <c r="G11" s="53">
        <v>5.8331573382019997E-3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0.24705571949999999</v>
      </c>
      <c r="D14" s="54">
        <v>0.22576595799400001</v>
      </c>
      <c r="E14" s="54">
        <v>0.22576595799400001</v>
      </c>
      <c r="F14" s="54">
        <v>9.01791644541E-2</v>
      </c>
      <c r="G14" s="54">
        <v>9.01791644541E-2</v>
      </c>
      <c r="H14" s="45">
        <v>0.24099999999999999</v>
      </c>
      <c r="I14" s="55">
        <v>0.24099999999999999</v>
      </c>
      <c r="J14" s="55">
        <v>0.24099999999999999</v>
      </c>
      <c r="K14" s="55">
        <v>0.24099999999999999</v>
      </c>
      <c r="L14" s="45">
        <v>0.22600000000000001</v>
      </c>
      <c r="M14" s="55">
        <v>0.22600000000000001</v>
      </c>
      <c r="N14" s="55">
        <v>0.22600000000000001</v>
      </c>
      <c r="O14" s="55">
        <v>0.22600000000000001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0.15971658154235999</v>
      </c>
      <c r="D15" s="52">
        <f t="shared" si="0"/>
        <v>0.14595317652396111</v>
      </c>
      <c r="E15" s="52">
        <f t="shared" si="0"/>
        <v>0.14595317652396111</v>
      </c>
      <c r="F15" s="52">
        <f t="shared" si="0"/>
        <v>5.8299026236286564E-2</v>
      </c>
      <c r="G15" s="52">
        <f t="shared" si="0"/>
        <v>5.8299026236286564E-2</v>
      </c>
      <c r="H15" s="52">
        <f t="shared" si="0"/>
        <v>0.15580167999999997</v>
      </c>
      <c r="I15" s="52">
        <f t="shared" si="0"/>
        <v>0.15580167999999997</v>
      </c>
      <c r="J15" s="52">
        <f t="shared" si="0"/>
        <v>0.15580167999999997</v>
      </c>
      <c r="K15" s="52">
        <f t="shared" si="0"/>
        <v>0.15580167999999997</v>
      </c>
      <c r="L15" s="52">
        <f t="shared" si="0"/>
        <v>0.14610447999999998</v>
      </c>
      <c r="M15" s="52">
        <f t="shared" si="0"/>
        <v>0.14610447999999998</v>
      </c>
      <c r="N15" s="52">
        <f t="shared" si="0"/>
        <v>0.14610447999999998</v>
      </c>
      <c r="O15" s="52">
        <f t="shared" si="0"/>
        <v>0.14610447999999998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4OuLCQnHnk+Dqm/b97u1aV4HrnNf5kNomp4CjWpMSPCSo04HbvyyvB6Ct8XICz739zArzzd23IC/pYAwt28tA==" saltValue="4MKmc/mel0kwiuh4M0hj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0.32364046573638899</v>
      </c>
      <c r="D2" s="53">
        <v>0.14429939999999999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0.25219285488128701</v>
      </c>
      <c r="D3" s="53">
        <v>0.2360535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0.242077842354775</v>
      </c>
      <c r="D4" s="53">
        <v>0.26666339999999999</v>
      </c>
      <c r="E4" s="53">
        <v>0.41328838467597989</v>
      </c>
      <c r="F4" s="53">
        <v>0.17384156584739699</v>
      </c>
      <c r="G4" s="53">
        <v>0</v>
      </c>
    </row>
    <row r="5" spans="1:7" x14ac:dyDescent="0.2">
      <c r="B5" s="3" t="s">
        <v>125</v>
      </c>
      <c r="C5" s="52">
        <v>0.18208883702754999</v>
      </c>
      <c r="D5" s="52">
        <v>0.35298365354538003</v>
      </c>
      <c r="E5" s="52">
        <f>1-SUM(E2:E4)</f>
        <v>0.58671161532402016</v>
      </c>
      <c r="F5" s="52">
        <f>1-SUM(F2:F4)</f>
        <v>0.82615843415260304</v>
      </c>
      <c r="G5" s="52">
        <f>1-SUM(G2:G4)</f>
        <v>1</v>
      </c>
    </row>
  </sheetData>
  <sheetProtection algorithmName="SHA-512" hashValue="Nb1lq8dAT4XJN5YCL5Fwj6aNsvnrSknDKJjv5lfKQ4eT4kA397lAHEk9aGeuP9sk41coIQ/UY51D8f9Jp5z2Bw==" saltValue="ognWV6ew8H6Vr/Ud6bhHX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q7M13bXMcTtjL0Wu0lvthdZ31DthFauVy3ikwGFACwM3hgxOfNsk0zTVwM2q0YLdJ8zpKXH1TQ2IbvTGWGIug==" saltValue="ULTHlhp0afWawWuQ67fiT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YRYKuu7al7Kzwsbv1hWIxGfBANKVD7skdZZf9ov0m4Yq7zre1plZFODaObKnVGChWKeHC4nquGaQTzh96Ih6jA==" saltValue="ojqDc+iTz85puiGrXCtGa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jOm1mPDlV6XEOYyXS8TPy/6IsWoeAiyIK9j/RsnAt4zyegOvJPP2ZkQg0MkDnGdHCf+78I8EGtjJz47OBdShQw==" saltValue="jrJp+AsgwVvIvkM9M2Lc/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A3BQVDNr5ER44Nm3w0GB6j6dWhtVRX4rz4HTbanxkyXb5lHNL5OtbXIeNtd4GphdFhP6OIpofzXw7uKJKFdKgQ==" saltValue="JfBSejj8JaUFByHaU3wvD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2023-01-25T11:19:29Z</dcterms:modified>
</cp:coreProperties>
</file>