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116FDE43-2071-4D73-980C-138AB6C2F034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H38" i="2"/>
  <c r="G38" i="2"/>
  <c r="I38" i="2" s="1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H2" i="2"/>
  <c r="I2" i="2" s="1"/>
  <c r="G2" i="2"/>
  <c r="A2" i="2"/>
  <c r="A31" i="2" s="1"/>
  <c r="C33" i="1"/>
  <c r="C20" i="1"/>
  <c r="A18" i="2" l="1"/>
  <c r="A3" i="2"/>
  <c r="A4" i="2" s="1"/>
  <c r="A5" i="2" s="1"/>
  <c r="A6" i="2" s="1"/>
  <c r="A7" i="2" s="1"/>
  <c r="A8" i="2" s="1"/>
  <c r="A9" i="2" s="1"/>
  <c r="A10" i="2" s="1"/>
  <c r="A11" i="2" s="1"/>
  <c r="A34" i="2"/>
  <c r="A26" i="2"/>
  <c r="A39" i="2"/>
  <c r="A16" i="2"/>
  <c r="A24" i="2"/>
  <c r="A32" i="2"/>
  <c r="A17" i="2"/>
  <c r="A25" i="2"/>
  <c r="A33" i="2"/>
  <c r="A19" i="2"/>
  <c r="A27" i="2"/>
  <c r="A35" i="2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<sst xmlns="http://schemas.openxmlformats.org/spreadsheetml/2006/main" count="2092" uniqueCount="341">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</sst>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580425.40625</v>
      </c>
    </row>
    <row r="8" spans="1:3" ht="15" customHeight="1" x14ac:dyDescent="0.2">
      <c r="B8" s="5" t="s">
        <v>44</v>
      </c>
      <c r="C8" s="44">
        <v>1.4999999999999999E-2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0.89261077880859407</v>
      </c>
    </row>
    <row r="11" spans="1:3" ht="15" customHeight="1" x14ac:dyDescent="0.2">
      <c r="B11" s="5" t="s">
        <v>49</v>
      </c>
      <c r="C11" s="45">
        <v>0.97799999999999998</v>
      </c>
    </row>
    <row r="12" spans="1:3" ht="15" customHeight="1" x14ac:dyDescent="0.2">
      <c r="B12" s="5" t="s">
        <v>41</v>
      </c>
      <c r="C12" s="45">
        <v>0.92599999999999993</v>
      </c>
    </row>
    <row r="13" spans="1:3" ht="15" customHeight="1" x14ac:dyDescent="0.2">
      <c r="B13" s="5" t="s">
        <v>62</v>
      </c>
      <c r="C13" s="45">
        <v>0.11600000000000001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0.13220000000000001</v>
      </c>
    </row>
    <row r="24" spans="1:3" ht="15" customHeight="1" x14ac:dyDescent="0.2">
      <c r="B24" s="15" t="s">
        <v>46</v>
      </c>
      <c r="C24" s="45">
        <v>0.57689999999999997</v>
      </c>
    </row>
    <row r="25" spans="1:3" ht="15" customHeight="1" x14ac:dyDescent="0.2">
      <c r="B25" s="15" t="s">
        <v>47</v>
      </c>
      <c r="C25" s="45">
        <v>0.27529999999999999</v>
      </c>
    </row>
    <row r="26" spans="1:3" ht="15" customHeight="1" x14ac:dyDescent="0.2">
      <c r="B26" s="15" t="s">
        <v>48</v>
      </c>
      <c r="C26" s="45">
        <v>1.5599999999999999E-2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0.35675533525383901</v>
      </c>
    </row>
    <row r="30" spans="1:3" ht="14.25" customHeight="1" x14ac:dyDescent="0.2">
      <c r="B30" s="25" t="s">
        <v>63</v>
      </c>
      <c r="C30" s="99">
        <v>6.5910586704521698E-2</v>
      </c>
    </row>
    <row r="31" spans="1:3" ht="14.25" customHeight="1" x14ac:dyDescent="0.2">
      <c r="B31" s="25" t="s">
        <v>10</v>
      </c>
      <c r="C31" s="99">
        <v>9.262041217609189E-2</v>
      </c>
    </row>
    <row r="32" spans="1:3" ht="14.25" customHeight="1" x14ac:dyDescent="0.2">
      <c r="B32" s="25" t="s">
        <v>11</v>
      </c>
      <c r="C32" s="99">
        <v>0.48471366586554798</v>
      </c>
    </row>
    <row r="33" spans="1:5" ht="13.15" customHeight="1" x14ac:dyDescent="0.2">
      <c r="B33" s="27" t="s">
        <v>60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2.18107122689293</v>
      </c>
    </row>
    <row r="38" spans="1:5" ht="15" customHeight="1" x14ac:dyDescent="0.2">
      <c r="B38" s="11" t="s">
        <v>35</v>
      </c>
      <c r="C38" s="43">
        <v>3.8098974413656501</v>
      </c>
      <c r="D38" s="12"/>
      <c r="E38" s="13"/>
    </row>
    <row r="39" spans="1:5" ht="15" customHeight="1" x14ac:dyDescent="0.2">
      <c r="B39" s="11" t="s">
        <v>61</v>
      </c>
      <c r="C39" s="43">
        <v>5.11944230976626</v>
      </c>
      <c r="D39" s="12"/>
      <c r="E39" s="12"/>
    </row>
    <row r="40" spans="1:5" ht="15" customHeight="1" x14ac:dyDescent="0.2">
      <c r="B40" s="11" t="s">
        <v>36</v>
      </c>
      <c r="C40" s="100">
        <v>0.36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6.9031318329999998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1.3273099999999999E-2</v>
      </c>
      <c r="D45" s="12"/>
    </row>
    <row r="46" spans="1:5" ht="15.75" customHeight="1" x14ac:dyDescent="0.2">
      <c r="B46" s="11" t="s">
        <v>51</v>
      </c>
      <c r="C46" s="45">
        <v>5.0285570000000002E-2</v>
      </c>
      <c r="D46" s="12"/>
    </row>
    <row r="47" spans="1:5" ht="15.75" customHeight="1" x14ac:dyDescent="0.2">
      <c r="B47" s="11" t="s">
        <v>59</v>
      </c>
      <c r="C47" s="45">
        <v>7.0704400000000001E-2</v>
      </c>
      <c r="D47" s="12"/>
      <c r="E47" s="13"/>
    </row>
    <row r="48" spans="1:5" ht="15" customHeight="1" x14ac:dyDescent="0.2">
      <c r="B48" s="11" t="s">
        <v>58</v>
      </c>
      <c r="C48" s="46">
        <v>0.86573693000000007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3.2</v>
      </c>
      <c r="D51" s="12"/>
    </row>
    <row r="52" spans="1:4" ht="15" customHeight="1" x14ac:dyDescent="0.2">
      <c r="B52" s="11" t="s">
        <v>13</v>
      </c>
      <c r="C52" s="100">
        <v>3.2</v>
      </c>
    </row>
    <row r="53" spans="1:4" ht="15.75" customHeight="1" x14ac:dyDescent="0.2">
      <c r="B53" s="11" t="s">
        <v>16</v>
      </c>
      <c r="C53" s="100">
        <v>3.2</v>
      </c>
    </row>
    <row r="54" spans="1:4" ht="15.75" customHeight="1" x14ac:dyDescent="0.2">
      <c r="B54" s="11" t="s">
        <v>14</v>
      </c>
      <c r="C54" s="100">
        <v>3.2</v>
      </c>
    </row>
    <row r="55" spans="1:4" ht="15.75" customHeight="1" x14ac:dyDescent="0.2">
      <c r="B55" s="11" t="s">
        <v>15</v>
      </c>
      <c r="C55" s="100">
        <v>3.2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1.9375E-2</v>
      </c>
    </row>
    <row r="59" spans="1:4" ht="15.75" customHeight="1" x14ac:dyDescent="0.2">
      <c r="B59" s="11" t="s">
        <v>40</v>
      </c>
      <c r="C59" s="45">
        <v>0.57630200000000009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5.26355739999999E-2</v>
      </c>
    </row>
    <row r="63" spans="1:4" ht="15.75" customHeight="1" x14ac:dyDescent="0.2">
      <c r="A63" s="4"/>
    </row>
  </sheetData>
  <sheetProtection algorithmName="SHA-512" hashValue="XpKAc7ADLbJnaIX5CUOzLd59Y5Aypw+vVzxKdbIltWHfvkuRvd3p0ZYLsJQIUcRDCRv1ysUMSDYFUeJlMeRsfA==" saltValue="qLIWZ0o1ewLb1KiOfqq/b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0.61442261917344998</v>
      </c>
      <c r="C2" s="98">
        <v>0.95</v>
      </c>
      <c r="D2" s="56">
        <v>83.013851094978818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40.440126307838547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806.1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9.31585037151752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0.19039542860440001</v>
      </c>
      <c r="C10" s="98">
        <v>0.95</v>
      </c>
      <c r="D10" s="56">
        <v>13.57242575163446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0.19039542860440001</v>
      </c>
      <c r="C11" s="98">
        <v>0.95</v>
      </c>
      <c r="D11" s="56">
        <v>13.57242575163446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0.19039542860440001</v>
      </c>
      <c r="C12" s="98">
        <v>0.95</v>
      </c>
      <c r="D12" s="56">
        <v>13.57242575163446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0.19039542860440001</v>
      </c>
      <c r="C13" s="98">
        <v>0.95</v>
      </c>
      <c r="D13" s="56">
        <v>13.57242575163446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0.19039542860440001</v>
      </c>
      <c r="C14" s="98">
        <v>0.95</v>
      </c>
      <c r="D14" s="56">
        <v>13.57242575163446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0.19039542860440001</v>
      </c>
      <c r="C15" s="98">
        <v>0.95</v>
      </c>
      <c r="D15" s="56">
        <v>13.57242575163446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1.27919155152981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18.465600261324941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18.465600261324941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0.99809318540000003</v>
      </c>
      <c r="C21" s="98">
        <v>0.95</v>
      </c>
      <c r="D21" s="56">
        <v>143.79383063706061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23.715420771638289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4.6294916046252768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0.25229699731222699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0.14849654167137899</v>
      </c>
      <c r="C27" s="98">
        <v>0.95</v>
      </c>
      <c r="D27" s="56">
        <v>19.135548002264301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0.92810241763148293</v>
      </c>
      <c r="C29" s="98">
        <v>0.95</v>
      </c>
      <c r="D29" s="56">
        <v>170.67126179613081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1.646089855331895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8.3532218930000013E-2</v>
      </c>
      <c r="C32" s="98">
        <v>0.95</v>
      </c>
      <c r="D32" s="56">
        <v>2.8042389349532271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0.87967544559999988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1.831778577435033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0.79504646007632607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NxsWwT2+VToKXQhqER9XfgUiS9+hiVV8+v/7mrkeOqQYPxxuODYwznOQwJB65zaXaGUq4VcIIAzIo9sDBRNCkQ==" saltValue="Ybp7pYJEzJEUijhGldiJe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slGV5g9HsIRiFbrSbuxJv8M01ucLZIsWVjRF9UGkPlU4aFDDU3+KNs2nRoqd/yDai1vlObF2s2Gq+R2zeCHF4Q==" saltValue="6jSfV6aXVJYgi/2tX+v9w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O0cp/dIA5FSBSPo8m6ddDkG6szq4LEAsyxQETmQ3KT+mzRYidmRKuGbQrxRN0/j0i+B0XMHxXzpkvbxXH9bTJA==" saltValue="cRSQnF+WpPaXDC01Haq5H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">
      <c r="A3" s="3" t="s">
        <v>6</v>
      </c>
      <c r="B3" s="21">
        <f>frac_mam_1month * 2.6</f>
        <v>5.4489260800000001E-2</v>
      </c>
      <c r="C3" s="21">
        <f>frac_mam_1_5months * 2.6</f>
        <v>5.4489260800000001E-2</v>
      </c>
      <c r="D3" s="21">
        <f>frac_mam_6_11months * 2.6</f>
        <v>4.3045386800000002E-2</v>
      </c>
      <c r="E3" s="21">
        <f>frac_mam_12_23months * 2.6</f>
        <v>4.4517075199999999E-2</v>
      </c>
      <c r="F3" s="21">
        <f>frac_mam_24_59months * 2.6</f>
        <v>3.0661542600000001E-2</v>
      </c>
    </row>
    <row r="4" spans="1:6" ht="15.75" customHeight="1" x14ac:dyDescent="0.2">
      <c r="A4" s="3" t="s">
        <v>207</v>
      </c>
      <c r="B4" s="21">
        <f>frac_sam_1month * 2.6</f>
        <v>6.0656746800000001E-2</v>
      </c>
      <c r="C4" s="21">
        <f>frac_sam_1_5months * 2.6</f>
        <v>6.0656746800000001E-2</v>
      </c>
      <c r="D4" s="21">
        <f>frac_sam_6_11months * 2.6</f>
        <v>1.811097444E-2</v>
      </c>
      <c r="E4" s="21">
        <f>frac_sam_12_23months * 2.6</f>
        <v>7.9992725800000011E-3</v>
      </c>
      <c r="F4" s="21">
        <f>frac_sam_24_59months * 2.6</f>
        <v>1.3030128019999997E-2</v>
      </c>
    </row>
  </sheetData>
  <sheetProtection algorithmName="SHA-512" hashValue="KkPya+nfb+Ah2elDM1eDndtwnf8dlWb0LWsQ/nAKH5dC9rn2c6QnqH68yEp8zRpNsHHodNqLba2rtrxK9PvKgA==" saltValue="g0zUY/JOcdlkhW+9T4pBq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0.92599999999999993</v>
      </c>
      <c r="E10" s="60">
        <f>IF(ISBLANK(comm_deliv), frac_children_health_facility,1)</f>
        <v>0.92599999999999993</v>
      </c>
      <c r="F10" s="60">
        <f>IF(ISBLANK(comm_deliv), frac_children_health_facility,1)</f>
        <v>0.92599999999999993</v>
      </c>
      <c r="G10" s="60">
        <f>IF(ISBLANK(comm_deliv), frac_children_health_facility,1)</f>
        <v>0.92599999999999993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0.97799999999999998</v>
      </c>
      <c r="I18" s="60">
        <f>frac_PW_health_facility</f>
        <v>0.97799999999999998</v>
      </c>
      <c r="J18" s="60">
        <f>frac_PW_health_facility</f>
        <v>0.97799999999999998</v>
      </c>
      <c r="K18" s="60">
        <f>frac_PW_health_facility</f>
        <v>0.97799999999999998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0.11600000000000001</v>
      </c>
      <c r="M24" s="60">
        <f>famplan_unmet_need</f>
        <v>0.11600000000000001</v>
      </c>
      <c r="N24" s="60">
        <f>famplan_unmet_need</f>
        <v>0.11600000000000001</v>
      </c>
      <c r="O24" s="60">
        <f>famplan_unmet_need</f>
        <v>0.11600000000000001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5.2958994430541827E-2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2.2696711898803641E-2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3.1733514862060448E-2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0.89261077880859407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hRzdf5DGQLYBkfpgVIsdFwDP05rizYH16ijqrAweqYtcd12iQ0YSc4uXS6o9o9aBAj117mPhXuqSoLtn14zH8g==" saltValue="nmHsEHt+4iPGq1K4ZRctk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/krYgtW5G//05P1wLmyGxRLJZRL+1yL5vu8yXtIdxur+PkLSH4bPpDa0lU8HXTv0IxVe4c6CKA4L7npxwjBxvQ==" saltValue="xqBgOxntfJL2+Pq+ubNCu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MxITLqe/6vmp9duh5fWLbwXiBfZnKiQU8hqznXCPUYRdxrPzLeUVeh4HJsEBpXVFziSTHofSkYmSR+zt8hNbHg==" saltValue="9kKMdGNpEWVZT5m+YfYGw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I0ztpk+WGr0DtbzpPXcNu0C8ZlHbAXCQh1uAERZYbnAVAob7OnLyMqDhP+IpPhIc9J9UYWjZDUYXXhutn6KoIQ==" saltValue="2TmikczBwl99/AupSqD/7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LM7aUGDZuMV8sVltzdGswk0YkGOY3SrUu2W/o9YDnz+lB4HZ6+Lz+RP499sgjsoTTmQf+nKl+S397cnTa03hmQ==" saltValue="kgXScgYVmoQnU3h5+Sh+m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mszuxBSlnp3BZMT1DRsNQz1ZQ6UKg2XjN66PmBF+GhkqHvZrhphLVKoOLoFwGr5FW95EbdZ/ap3NGNH4+Lmqvg==" saltValue="5QIKkHZa8GQ8YAjoqddP7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118606.39999999999</v>
      </c>
      <c r="C2" s="49">
        <v>294000</v>
      </c>
      <c r="D2" s="49">
        <v>668000</v>
      </c>
      <c r="E2" s="49">
        <v>746000</v>
      </c>
      <c r="F2" s="49">
        <v>783000</v>
      </c>
      <c r="G2" s="17">
        <f t="shared" ref="G2:G11" si="0">C2+D2+E2+F2</f>
        <v>2491000</v>
      </c>
      <c r="H2" s="17">
        <f t="shared" ref="H2:H11" si="1">(B2 + stillbirth*B2/(1000-stillbirth))/(1-abortion)</f>
        <v>135716.87145562045</v>
      </c>
      <c r="I2" s="17">
        <f t="shared" ref="I2:I11" si="2">G2-H2</f>
        <v>2355283.1285443795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117389.1168</v>
      </c>
      <c r="C3" s="50">
        <v>287000</v>
      </c>
      <c r="D3" s="50">
        <v>656000</v>
      </c>
      <c r="E3" s="50">
        <v>751000</v>
      </c>
      <c r="F3" s="50">
        <v>742000</v>
      </c>
      <c r="G3" s="17">
        <f t="shared" si="0"/>
        <v>2436000</v>
      </c>
      <c r="H3" s="17">
        <f t="shared" si="1"/>
        <v>134323.97977709817</v>
      </c>
      <c r="I3" s="17">
        <f t="shared" si="2"/>
        <v>2301676.0202229018</v>
      </c>
    </row>
    <row r="4" spans="1:9" ht="15.75" customHeight="1" x14ac:dyDescent="0.2">
      <c r="A4" s="5">
        <f t="shared" si="3"/>
        <v>2023</v>
      </c>
      <c r="B4" s="49">
        <v>116170.9584</v>
      </c>
      <c r="C4" s="50">
        <v>282000</v>
      </c>
      <c r="D4" s="50">
        <v>645000</v>
      </c>
      <c r="E4" s="50">
        <v>752000</v>
      </c>
      <c r="F4" s="50">
        <v>705000</v>
      </c>
      <c r="G4" s="17">
        <f t="shared" si="0"/>
        <v>2384000</v>
      </c>
      <c r="H4" s="17">
        <f t="shared" si="1"/>
        <v>132930.08663992022</v>
      </c>
      <c r="I4" s="17">
        <f t="shared" si="2"/>
        <v>2251069.9133600798</v>
      </c>
    </row>
    <row r="5" spans="1:9" ht="15.75" customHeight="1" x14ac:dyDescent="0.2">
      <c r="A5" s="5">
        <f t="shared" si="3"/>
        <v>2024</v>
      </c>
      <c r="B5" s="49">
        <v>114941.9394</v>
      </c>
      <c r="C5" s="50">
        <v>279000</v>
      </c>
      <c r="D5" s="50">
        <v>633000</v>
      </c>
      <c r="E5" s="50">
        <v>748000</v>
      </c>
      <c r="F5" s="50">
        <v>679000</v>
      </c>
      <c r="G5" s="17">
        <f t="shared" si="0"/>
        <v>2339000</v>
      </c>
      <c r="H5" s="17">
        <f t="shared" si="1"/>
        <v>131523.76612399935</v>
      </c>
      <c r="I5" s="17">
        <f t="shared" si="2"/>
        <v>2207476.2338760006</v>
      </c>
    </row>
    <row r="6" spans="1:9" ht="15.75" customHeight="1" x14ac:dyDescent="0.2">
      <c r="A6" s="5">
        <f t="shared" si="3"/>
        <v>2025</v>
      </c>
      <c r="B6" s="49">
        <v>113702.38800000001</v>
      </c>
      <c r="C6" s="50">
        <v>277000</v>
      </c>
      <c r="D6" s="50">
        <v>621000</v>
      </c>
      <c r="E6" s="50">
        <v>741000</v>
      </c>
      <c r="F6" s="50">
        <v>664000</v>
      </c>
      <c r="G6" s="17">
        <f t="shared" si="0"/>
        <v>2303000</v>
      </c>
      <c r="H6" s="17">
        <f t="shared" si="1"/>
        <v>130105.39377633149</v>
      </c>
      <c r="I6" s="17">
        <f t="shared" si="2"/>
        <v>2172894.6062236684</v>
      </c>
    </row>
    <row r="7" spans="1:9" ht="15.75" customHeight="1" x14ac:dyDescent="0.2">
      <c r="A7" s="5">
        <f t="shared" si="3"/>
        <v>2026</v>
      </c>
      <c r="B7" s="49">
        <v>112408.3268</v>
      </c>
      <c r="C7" s="50">
        <v>279000</v>
      </c>
      <c r="D7" s="50">
        <v>610000</v>
      </c>
      <c r="E7" s="50">
        <v>732000</v>
      </c>
      <c r="F7" s="50">
        <v>662000</v>
      </c>
      <c r="G7" s="17">
        <f t="shared" si="0"/>
        <v>2283000</v>
      </c>
      <c r="H7" s="17">
        <f t="shared" si="1"/>
        <v>128624.64790143681</v>
      </c>
      <c r="I7" s="17">
        <f t="shared" si="2"/>
        <v>2154375.3520985632</v>
      </c>
    </row>
    <row r="8" spans="1:9" ht="15.75" customHeight="1" x14ac:dyDescent="0.2">
      <c r="A8" s="5">
        <f t="shared" si="3"/>
        <v>2027</v>
      </c>
      <c r="B8" s="49">
        <v>111104.61440000001</v>
      </c>
      <c r="C8" s="50">
        <v>283000</v>
      </c>
      <c r="D8" s="50">
        <v>598000</v>
      </c>
      <c r="E8" s="50">
        <v>718000</v>
      </c>
      <c r="F8" s="50">
        <v>673000</v>
      </c>
      <c r="G8" s="17">
        <f t="shared" si="0"/>
        <v>2272000</v>
      </c>
      <c r="H8" s="17">
        <f t="shared" si="1"/>
        <v>127132.85851902663</v>
      </c>
      <c r="I8" s="17">
        <f t="shared" si="2"/>
        <v>2144867.1414809735</v>
      </c>
    </row>
    <row r="9" spans="1:9" ht="15.75" customHeight="1" x14ac:dyDescent="0.2">
      <c r="A9" s="5">
        <f t="shared" si="3"/>
        <v>2028</v>
      </c>
      <c r="B9" s="49">
        <v>109791.588</v>
      </c>
      <c r="C9" s="50">
        <v>288000</v>
      </c>
      <c r="D9" s="50">
        <v>586000</v>
      </c>
      <c r="E9" s="50">
        <v>701000</v>
      </c>
      <c r="F9" s="50">
        <v>691000</v>
      </c>
      <c r="G9" s="17">
        <f t="shared" si="0"/>
        <v>2266000</v>
      </c>
      <c r="H9" s="17">
        <f t="shared" si="1"/>
        <v>125630.41147446043</v>
      </c>
      <c r="I9" s="17">
        <f t="shared" si="2"/>
        <v>2140369.5885255397</v>
      </c>
    </row>
    <row r="10" spans="1:9" ht="15.75" customHeight="1" x14ac:dyDescent="0.2">
      <c r="A10" s="5">
        <f t="shared" si="3"/>
        <v>2029</v>
      </c>
      <c r="B10" s="49">
        <v>108441.30560000001</v>
      </c>
      <c r="C10" s="50">
        <v>292000</v>
      </c>
      <c r="D10" s="50">
        <v>576000</v>
      </c>
      <c r="E10" s="50">
        <v>684000</v>
      </c>
      <c r="F10" s="50">
        <v>709000</v>
      </c>
      <c r="G10" s="17">
        <f t="shared" si="0"/>
        <v>2261000</v>
      </c>
      <c r="H10" s="17">
        <f t="shared" si="1"/>
        <v>124085.3337812703</v>
      </c>
      <c r="I10" s="17">
        <f t="shared" si="2"/>
        <v>2136914.6662187297</v>
      </c>
    </row>
    <row r="11" spans="1:9" ht="15.75" customHeight="1" x14ac:dyDescent="0.2">
      <c r="A11" s="5">
        <f t="shared" si="3"/>
        <v>2030</v>
      </c>
      <c r="B11" s="49">
        <v>107073.74400000001</v>
      </c>
      <c r="C11" s="50">
        <v>294000</v>
      </c>
      <c r="D11" s="50">
        <v>568000</v>
      </c>
      <c r="E11" s="50">
        <v>668000</v>
      </c>
      <c r="F11" s="50">
        <v>723000</v>
      </c>
      <c r="G11" s="17">
        <f t="shared" si="0"/>
        <v>2253000</v>
      </c>
      <c r="H11" s="17">
        <f t="shared" si="1"/>
        <v>122520.48414520646</v>
      </c>
      <c r="I11" s="17">
        <f t="shared" si="2"/>
        <v>2130479.5158547936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JqFfMHG6kIh2KWQtQqprtVZ3f7le3bnyW0+g5TYTKcBUJDUY2KE3gmXOeRBtMbq0sGPlrBepMX1vFKNYJJAPLA==" saltValue="87VUQgwa0Nglus6gSF9o3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74iJ7dfrVE5sjXdaEBeiCZivmisXmy5fEEC0UOkBDbvcl8B5tlz0+mqlUq90Hk9BY6bH55HZQ6E6Hh+dNlkFrw==" saltValue="AWZeSzKemO2THVB1jj6bS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mreNh7Thf2PdjV0lo+VlOCqliZ5S9KepYZlUlhmdSlndsZUjdQd6ZkhRFO+dRU9Im6R4nov8cIf3EAo4vIkVsw==" saltValue="NCaUvQaO3oIq8ydqJhBB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ru0t61/ybatGIGyjTR9pLWqjlhnN3xhNKbYv9/w4sVYofCaQQiH+BIVU8LH0R2SQZWPLzajVerNv45OKlIF87Q==" saltValue="+UYUiUOh/3MYs0tgx49g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5BOTXtoY02vnZpI1l5HI7GVWK7THmZLjE+m9Bbw19paHGp8WeRPWHjBDDei6vPSwsbbW/KAgsRdiJj/2kVRBKg==" saltValue="IQ12fOWHmdsZKpEXaMpSi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ffNcOzpPESn7rBS717R2DFE2aAOLFr7S0Fk8FArmllJGNJbowHtoMCSpL/JUip9Pp+IW68dG/QwktHyvjIkXbA==" saltValue="IhR6rTvl/KNd9P8o+rBcB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EI2KcX5P1ef6duxiwkbkYR29aD9sOAV41e++gU67W0tszh/t0ETgaArBG3XyJmTg6xHpdUbgipTn3ouNfOUpGg==" saltValue="8jb/+ZT4KXYRlfls/XzIc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lMRLGCBRVupSf+pzdNn+hOs/UeJpTWFd+BG+qzGcj+obc24otX8N39yhTujUG0FtJAgHKnLb1IAYKvGYDT6g8Q==" saltValue="/V+8m9Q9th58d1Vv2JFw1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rijRlRrXFfnfUl3oJdKX+57wuVbpWJ2p7tEqW1afRNWLHYx+h8N/OV0kzwQVPVn/QxKccPvVNamFl/BWg94/hg==" saltValue="pFBunsYsJPskRUA5Ypwd4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0iRXFzbJSJzglGFLyyVR7e3uzGP9lQ+sQIt90w//qGoUlhR485PkoHpAUpZmRv2+0ja2ky4fzSNTTjQ1UAdurw==" saltValue="H5dBadhJktXffy4dP4V6h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0</v>
      </c>
    </row>
    <row r="4" spans="1:8" ht="15.75" customHeight="1" x14ac:dyDescent="0.2">
      <c r="B4" s="19" t="s">
        <v>97</v>
      </c>
      <c r="C4" s="101">
        <v>0.14323089149449619</v>
      </c>
    </row>
    <row r="5" spans="1:8" ht="15.75" customHeight="1" x14ac:dyDescent="0.2">
      <c r="B5" s="19" t="s">
        <v>95</v>
      </c>
      <c r="C5" s="101">
        <v>9.0704261582273779E-2</v>
      </c>
    </row>
    <row r="6" spans="1:8" ht="15.75" customHeight="1" x14ac:dyDescent="0.2">
      <c r="B6" s="19" t="s">
        <v>91</v>
      </c>
      <c r="C6" s="101">
        <v>0.12871219532055661</v>
      </c>
    </row>
    <row r="7" spans="1:8" ht="15.75" customHeight="1" x14ac:dyDescent="0.2">
      <c r="B7" s="19" t="s">
        <v>96</v>
      </c>
      <c r="C7" s="101">
        <v>0.2939997933126044</v>
      </c>
    </row>
    <row r="8" spans="1:8" ht="15.75" customHeight="1" x14ac:dyDescent="0.2">
      <c r="B8" s="19" t="s">
        <v>98</v>
      </c>
      <c r="C8" s="101">
        <v>0</v>
      </c>
    </row>
    <row r="9" spans="1:8" ht="15.75" customHeight="1" x14ac:dyDescent="0.2">
      <c r="B9" s="19" t="s">
        <v>92</v>
      </c>
      <c r="C9" s="101">
        <v>0.1964423577553088</v>
      </c>
    </row>
    <row r="10" spans="1:8" ht="15.75" customHeight="1" x14ac:dyDescent="0.2">
      <c r="B10" s="19" t="s">
        <v>94</v>
      </c>
      <c r="C10" s="101">
        <v>0.14691050053476029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1.7989740564642569E-2</v>
      </c>
      <c r="D14" s="55">
        <v>1.7989740564642569E-2</v>
      </c>
      <c r="E14" s="55">
        <v>1.7989740564642569E-2</v>
      </c>
      <c r="F14" s="55">
        <v>1.7989740564642569E-2</v>
      </c>
    </row>
    <row r="15" spans="1:8" ht="15.75" customHeight="1" x14ac:dyDescent="0.2">
      <c r="B15" s="19" t="s">
        <v>102</v>
      </c>
      <c r="C15" s="101">
        <v>0.1332616872302651</v>
      </c>
      <c r="D15" s="101">
        <v>0.1332616872302651</v>
      </c>
      <c r="E15" s="101">
        <v>0.1332616872302651</v>
      </c>
      <c r="F15" s="101">
        <v>0.1332616872302651</v>
      </c>
    </row>
    <row r="16" spans="1:8" ht="15.75" customHeight="1" x14ac:dyDescent="0.2">
      <c r="B16" s="19" t="s">
        <v>2</v>
      </c>
      <c r="C16" s="101">
        <v>4.6890529817571122E-2</v>
      </c>
      <c r="D16" s="101">
        <v>4.6890529817571122E-2</v>
      </c>
      <c r="E16" s="101">
        <v>4.6890529817571122E-2</v>
      </c>
      <c r="F16" s="101">
        <v>4.6890529817571122E-2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4.2934280086843933E-2</v>
      </c>
      <c r="D19" s="101">
        <v>4.2934280086843933E-2</v>
      </c>
      <c r="E19" s="101">
        <v>4.2934280086843933E-2</v>
      </c>
      <c r="F19" s="101">
        <v>4.2934280086843933E-2</v>
      </c>
    </row>
    <row r="20" spans="1:8" ht="15.75" customHeight="1" x14ac:dyDescent="0.2">
      <c r="B20" s="19" t="s">
        <v>79</v>
      </c>
      <c r="C20" s="101">
        <v>5.6960880358696071E-2</v>
      </c>
      <c r="D20" s="101">
        <v>5.6960880358696071E-2</v>
      </c>
      <c r="E20" s="101">
        <v>5.6960880358696071E-2</v>
      </c>
      <c r="F20" s="101">
        <v>5.6960880358696071E-2</v>
      </c>
    </row>
    <row r="21" spans="1:8" ht="15.75" customHeight="1" x14ac:dyDescent="0.2">
      <c r="B21" s="19" t="s">
        <v>88</v>
      </c>
      <c r="C21" s="101">
        <v>0.1236638143592285</v>
      </c>
      <c r="D21" s="101">
        <v>0.1236638143592285</v>
      </c>
      <c r="E21" s="101">
        <v>0.1236638143592285</v>
      </c>
      <c r="F21" s="101">
        <v>0.1236638143592285</v>
      </c>
    </row>
    <row r="22" spans="1:8" ht="15.75" customHeight="1" x14ac:dyDescent="0.2">
      <c r="B22" s="19" t="s">
        <v>99</v>
      </c>
      <c r="C22" s="101">
        <v>0.57829906758275273</v>
      </c>
      <c r="D22" s="101">
        <v>0.57829906758275273</v>
      </c>
      <c r="E22" s="101">
        <v>0.57829906758275273</v>
      </c>
      <c r="F22" s="101">
        <v>0.57829906758275273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2.9679839999999999E-2</v>
      </c>
    </row>
    <row r="27" spans="1:8" ht="15.75" customHeight="1" x14ac:dyDescent="0.2">
      <c r="B27" s="19" t="s">
        <v>89</v>
      </c>
      <c r="C27" s="101">
        <v>2.1739139000000001E-2</v>
      </c>
    </row>
    <row r="28" spans="1:8" ht="15.75" customHeight="1" x14ac:dyDescent="0.2">
      <c r="B28" s="19" t="s">
        <v>103</v>
      </c>
      <c r="C28" s="101">
        <v>0.105935959</v>
      </c>
    </row>
    <row r="29" spans="1:8" ht="15.75" customHeight="1" x14ac:dyDescent="0.2">
      <c r="B29" s="19" t="s">
        <v>86</v>
      </c>
      <c r="C29" s="101">
        <v>0.11928900100000001</v>
      </c>
    </row>
    <row r="30" spans="1:8" ht="15.75" customHeight="1" x14ac:dyDescent="0.2">
      <c r="B30" s="19" t="s">
        <v>4</v>
      </c>
      <c r="C30" s="101">
        <v>5.9336512000000001E-2</v>
      </c>
    </row>
    <row r="31" spans="1:8" ht="15.75" customHeight="1" x14ac:dyDescent="0.2">
      <c r="B31" s="19" t="s">
        <v>80</v>
      </c>
      <c r="C31" s="101">
        <v>0.21511585599999999</v>
      </c>
    </row>
    <row r="32" spans="1:8" ht="15.75" customHeight="1" x14ac:dyDescent="0.2">
      <c r="B32" s="19" t="s">
        <v>85</v>
      </c>
      <c r="C32" s="101">
        <v>9.6009434000000005E-2</v>
      </c>
    </row>
    <row r="33" spans="2:3" ht="15.75" customHeight="1" x14ac:dyDescent="0.2">
      <c r="B33" s="19" t="s">
        <v>100</v>
      </c>
      <c r="C33" s="101">
        <v>7.9330116000000006E-2</v>
      </c>
    </row>
    <row r="34" spans="2:3" ht="15.75" customHeight="1" x14ac:dyDescent="0.2">
      <c r="B34" s="19" t="s">
        <v>87</v>
      </c>
      <c r="C34" s="101">
        <v>0.27356414400000001</v>
      </c>
    </row>
    <row r="35" spans="2:3" ht="15.75" customHeight="1" x14ac:dyDescent="0.2">
      <c r="B35" s="27" t="s">
        <v>60</v>
      </c>
      <c r="C35" s="48">
        <f>SUM(C26:C34)</f>
        <v>1.0000000010000001</v>
      </c>
    </row>
  </sheetData>
  <sheetProtection algorithmName="SHA-512" hashValue="LDqh74sKNhekyH9spsSy6cvdd6BqmkT8s0reZ9CvmoTuSi5puYtOc1eBychdNmvVSSCQLM94ZEE6u6+fHZ00MQ==" saltValue="UhhwrkWB9KNsxPJyQfFqt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0.68485501667729731</v>
      </c>
      <c r="D2" s="52">
        <f>IFERROR(1-_xlfn.NORM.DIST(_xlfn.NORM.INV(SUM(D4:D5), 0, 1) + 1, 0, 1, TRUE), "")</f>
        <v>0.68485501667729731</v>
      </c>
      <c r="E2" s="52">
        <f>IFERROR(1-_xlfn.NORM.DIST(_xlfn.NORM.INV(SUM(E4:E5), 0, 1) + 1, 0, 1, TRUE), "")</f>
        <v>0.81455941571798396</v>
      </c>
      <c r="F2" s="52">
        <f>IFERROR(1-_xlfn.NORM.DIST(_xlfn.NORM.INV(SUM(F4:F5), 0, 1) + 1, 0, 1, TRUE), "")</f>
        <v>0.65889482421261514</v>
      </c>
      <c r="G2" s="52">
        <f>IFERROR(1-_xlfn.NORM.DIST(_xlfn.NORM.INV(SUM(G4:G5), 0, 1) + 1, 0, 1, TRUE), "")</f>
        <v>0.67024715684429903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0.24588415732270269</v>
      </c>
      <c r="D3" s="52">
        <f>IFERROR(_xlfn.NORM.DIST(_xlfn.NORM.INV(SUM(D4:D5), 0, 1) + 1, 0, 1, TRUE) - SUM(D4:D5), "")</f>
        <v>0.24588415732270269</v>
      </c>
      <c r="E3" s="52">
        <f>IFERROR(_xlfn.NORM.DIST(_xlfn.NORM.INV(SUM(E4:E5), 0, 1) + 1, 0, 1, TRUE) - SUM(E4:E5), "")</f>
        <v>0.15638272428201608</v>
      </c>
      <c r="F3" s="52">
        <f>IFERROR(_xlfn.NORM.DIST(_xlfn.NORM.INV(SUM(F4:F5), 0, 1) + 1, 0, 1, TRUE) - SUM(F4:F5), "")</f>
        <v>0.26175392068738479</v>
      </c>
      <c r="G3" s="52">
        <f>IFERROR(_xlfn.NORM.DIST(_xlfn.NORM.INV(SUM(G4:G5), 0, 1) + 1, 0, 1, TRUE) - SUM(G4:G5), "")</f>
        <v>0.25490338105570098</v>
      </c>
    </row>
    <row r="4" spans="1:15" ht="15.75" customHeight="1" x14ac:dyDescent="0.2">
      <c r="B4" s="5" t="s">
        <v>110</v>
      </c>
      <c r="C4" s="45">
        <v>6.6390251999999997E-2</v>
      </c>
      <c r="D4" s="53">
        <v>6.6390251999999997E-2</v>
      </c>
      <c r="E4" s="53">
        <v>2.9057860000000001E-2</v>
      </c>
      <c r="F4" s="53">
        <v>7.5866947000000004E-2</v>
      </c>
      <c r="G4" s="53">
        <v>7.2967967999999994E-2</v>
      </c>
    </row>
    <row r="5" spans="1:15" ht="15.75" customHeight="1" x14ac:dyDescent="0.2">
      <c r="B5" s="5" t="s">
        <v>106</v>
      </c>
      <c r="C5" s="45">
        <v>2.8705739999999999E-3</v>
      </c>
      <c r="D5" s="53">
        <v>2.8705739999999999E-3</v>
      </c>
      <c r="E5" s="53">
        <v>0</v>
      </c>
      <c r="F5" s="53">
        <v>3.4843080999999998E-3</v>
      </c>
      <c r="G5" s="53">
        <v>1.8814941000000001E-3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0.75896249545681771</v>
      </c>
      <c r="D8" s="52">
        <f>IFERROR(1-_xlfn.NORM.DIST(_xlfn.NORM.INV(SUM(D10:D11), 0, 1) + 1, 0, 1, TRUE), "")</f>
        <v>0.75896249545681771</v>
      </c>
      <c r="E8" s="52">
        <f>IFERROR(1-_xlfn.NORM.DIST(_xlfn.NORM.INV(SUM(E10:E11), 0, 1) + 1, 0, 1, TRUE), "")</f>
        <v>0.83791127940639687</v>
      </c>
      <c r="F8" s="52">
        <f>IFERROR(1-_xlfn.NORM.DIST(_xlfn.NORM.INV(SUM(F10:F11), 0, 1) + 1, 0, 1, TRUE), "")</f>
        <v>0.85306378318999676</v>
      </c>
      <c r="G8" s="52">
        <f>IFERROR(1-_xlfn.NORM.DIST(_xlfn.NORM.INV(SUM(G10:G11), 0, 1) + 1, 0, 1, TRUE), "")</f>
        <v>0.86964870231222369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0.19675057854318229</v>
      </c>
      <c r="D9" s="52">
        <f>IFERROR(_xlfn.NORM.DIST(_xlfn.NORM.INV(SUM(D10:D11), 0, 1) + 1, 0, 1, TRUE) - SUM(D10:D11), "")</f>
        <v>0.19675057854318229</v>
      </c>
      <c r="E9" s="52">
        <f>IFERROR(_xlfn.NORM.DIST(_xlfn.NORM.INV(SUM(E10:E11), 0, 1) + 1, 0, 1, TRUE) - SUM(E10:E11), "")</f>
        <v>0.13856704319360316</v>
      </c>
      <c r="F9" s="52">
        <f>IFERROR(_xlfn.NORM.DIST(_xlfn.NORM.INV(SUM(F10:F11), 0, 1) + 1, 0, 1, TRUE) - SUM(F10:F11), "")</f>
        <v>0.12673762151000317</v>
      </c>
      <c r="G9" s="52">
        <f>IFERROR(_xlfn.NORM.DIST(_xlfn.NORM.INV(SUM(G10:G11), 0, 1) + 1, 0, 1, TRUE) - SUM(G10:G11), "")</f>
        <v>0.11354680898777635</v>
      </c>
    </row>
    <row r="10" spans="1:15" ht="15.75" customHeight="1" x14ac:dyDescent="0.2">
      <c r="B10" s="5" t="s">
        <v>107</v>
      </c>
      <c r="C10" s="45">
        <v>2.0957408E-2</v>
      </c>
      <c r="D10" s="53">
        <v>2.0957408E-2</v>
      </c>
      <c r="E10" s="53">
        <v>1.6555917999999999E-2</v>
      </c>
      <c r="F10" s="53">
        <v>1.7121951999999999E-2</v>
      </c>
      <c r="G10" s="53">
        <v>1.1792901E-2</v>
      </c>
    </row>
    <row r="11" spans="1:15" ht="15.75" customHeight="1" x14ac:dyDescent="0.2">
      <c r="B11" s="5" t="s">
        <v>119</v>
      </c>
      <c r="C11" s="45">
        <v>2.3329518E-2</v>
      </c>
      <c r="D11" s="53">
        <v>2.3329518E-2</v>
      </c>
      <c r="E11" s="53">
        <v>6.9657594000000003E-3</v>
      </c>
      <c r="F11" s="53">
        <v>3.0766433000000001E-3</v>
      </c>
      <c r="G11" s="53">
        <v>5.0115876999999986E-3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0.34035478875000003</v>
      </c>
      <c r="D14" s="54">
        <v>0.31335189346999998</v>
      </c>
      <c r="E14" s="54">
        <v>0.31335189346999998</v>
      </c>
      <c r="F14" s="54">
        <v>0.19796945741300001</v>
      </c>
      <c r="G14" s="54">
        <v>0.19796945741300001</v>
      </c>
      <c r="H14" s="45">
        <v>0.28499999999999998</v>
      </c>
      <c r="I14" s="55">
        <v>0.28499999999999998</v>
      </c>
      <c r="J14" s="55">
        <v>0.28499999999999998</v>
      </c>
      <c r="K14" s="55">
        <v>0.28499999999999998</v>
      </c>
      <c r="L14" s="45">
        <v>0.25</v>
      </c>
      <c r="M14" s="55">
        <v>0.25</v>
      </c>
      <c r="N14" s="55">
        <v>0.25</v>
      </c>
      <c r="O14" s="55">
        <v>0.25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0.19614714546620254</v>
      </c>
      <c r="D15" s="52">
        <f t="shared" si="0"/>
        <v>0.18058532291054796</v>
      </c>
      <c r="E15" s="52">
        <f t="shared" si="0"/>
        <v>0.18058532291054796</v>
      </c>
      <c r="F15" s="52">
        <f t="shared" si="0"/>
        <v>0.11409019424602675</v>
      </c>
      <c r="G15" s="52">
        <f t="shared" si="0"/>
        <v>0.11409019424602675</v>
      </c>
      <c r="H15" s="52">
        <f t="shared" si="0"/>
        <v>0.16424607000000002</v>
      </c>
      <c r="I15" s="52">
        <f t="shared" si="0"/>
        <v>0.16424607000000002</v>
      </c>
      <c r="J15" s="52">
        <f t="shared" si="0"/>
        <v>0.16424607000000002</v>
      </c>
      <c r="K15" s="52">
        <f t="shared" si="0"/>
        <v>0.16424607000000002</v>
      </c>
      <c r="L15" s="52">
        <f t="shared" si="0"/>
        <v>0.14407550000000002</v>
      </c>
      <c r="M15" s="52">
        <f t="shared" si="0"/>
        <v>0.14407550000000002</v>
      </c>
      <c r="N15" s="52">
        <f t="shared" si="0"/>
        <v>0.14407550000000002</v>
      </c>
      <c r="O15" s="52">
        <f t="shared" si="0"/>
        <v>0.14407550000000002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QPLLeDJsshRSbKzs/rnmwRuZQR1b4S3L6d4O0jhrQJ5Ve4yHZBf8/0DdJQNdVzYz/wPg3LhcB1yrmyubctLNaQ==" saltValue="m/QJYNkU1wQFr12r7DyuA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0.85080101010000009</v>
      </c>
      <c r="D2" s="53">
        <v>0.36791389000000002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0.11901531999999999</v>
      </c>
      <c r="D3" s="53">
        <v>0.13744598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3.0183677999999999E-2</v>
      </c>
      <c r="D4" s="53">
        <v>0.35666267000000001</v>
      </c>
      <c r="E4" s="53">
        <v>0.573175609111786</v>
      </c>
      <c r="F4" s="53">
        <v>0.30687814950942999</v>
      </c>
      <c r="G4" s="53">
        <v>0</v>
      </c>
    </row>
    <row r="5" spans="1:7" x14ac:dyDescent="0.2">
      <c r="B5" s="3" t="s">
        <v>125</v>
      </c>
      <c r="C5" s="52">
        <v>0</v>
      </c>
      <c r="D5" s="52">
        <v>0.13797744000000001</v>
      </c>
      <c r="E5" s="52">
        <f>1-SUM(E2:E4)</f>
        <v>0.426824390888214</v>
      </c>
      <c r="F5" s="52">
        <f>1-SUM(F2:F4)</f>
        <v>0.69312185049057007</v>
      </c>
      <c r="G5" s="52">
        <f>1-SUM(G2:G4)</f>
        <v>1</v>
      </c>
    </row>
  </sheetData>
  <sheetProtection algorithmName="SHA-512" hashValue="yd/sZgFnvVhuLFz3Ho4Df7H/ZvKJuy/tWShl1vkClQ+GyGHI7iJk8Brv+sGK3XueXS0fPc/Ar9ul8Q9cl1UhFw==" saltValue="usSJW2DBKg6DDgkiquggg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TdAusro8H4gSxM1tvQOn6lpGtAonlFywMwNUC/PAXRUDc2RVysef3iK8WdMRDCPRB86JHT1hJR5i1Q07/zR/sw==" saltValue="t6mIUXfTh83w8LVsd0JJS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MdWG7K73vBJ1e19qs20q32n5lMHM6aPJSbzKDt/54bum8jo8bYuU0fX3crflpiNu/8VhpbCW76JFzOMCqBiJ8g==" saltValue="q9VNwTaoe7ii5NqULo1KQ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atLj8CW17fIrosoz03scWmOVSiU2eX+VzRZ0rwvSkG+5g1KjQZqFwpgiaL9sdJifkV2Iumo2yYocOmOYJEfPkw==" saltValue="QqxhaHeA+Vs6brtknoQ8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98ptxI9URxZSETwn3Ho4TMyGhGDxdtUngt7L0mWFhI5qlZnCGyqyPQNcYlympn5nsCBM3eU7Bj4/YReTrwieDg==" saltValue="XaAfRS6QVNycH91oOc2h1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2023-01-25T11:24:56Z</dcterms:modified>
</cp:coreProperties>
</file>