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27C10777-456E-47B3-BADF-6443CC91B474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A40" i="2"/>
  <c r="H39" i="2"/>
  <c r="G39" i="2"/>
  <c r="H38" i="2"/>
  <c r="G38" i="2"/>
  <c r="A31" i="2"/>
  <c r="A30" i="2"/>
  <c r="A19" i="2"/>
  <c r="A18" i="2"/>
  <c r="A15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H2" i="2"/>
  <c r="I2" i="2" s="1"/>
  <c r="G2" i="2"/>
  <c r="A2" i="2"/>
  <c r="A37" i="2" s="1"/>
  <c r="C33" i="1"/>
  <c r="C20" i="1"/>
  <c r="A23" i="2" l="1"/>
  <c r="A22" i="2"/>
  <c r="A26" i="2"/>
  <c r="A27" i="2"/>
  <c r="A38" i="2"/>
  <c r="I38" i="2"/>
  <c r="A34" i="2"/>
  <c r="A35" i="2"/>
  <c r="A3" i="2"/>
  <c r="A4" i="2" s="1"/>
  <c r="A5" i="2" s="1"/>
  <c r="A6" i="2" s="1"/>
  <c r="A7" i="2" s="1"/>
  <c r="A8" i="2" s="1"/>
  <c r="A9" i="2" s="1"/>
  <c r="A10" i="2" s="1"/>
  <c r="A11" i="2" s="1"/>
  <c r="A39" i="2"/>
  <c r="A14" i="2"/>
  <c r="I39" i="2"/>
  <c r="A16" i="2"/>
  <c r="A24" i="2"/>
  <c r="A32" i="2"/>
  <c r="A17" i="2"/>
  <c r="A25" i="2"/>
  <c r="A33" i="2"/>
  <c r="A12" i="2"/>
  <c r="A20" i="2"/>
  <c r="A28" i="2"/>
  <c r="A36" i="2"/>
  <c r="A13" i="2"/>
  <c r="A21" i="2"/>
  <c r="A29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<sst xmlns="http://schemas.openxmlformats.org/spreadsheetml/2006/main" count="2092" uniqueCount="341">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</sst>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10567.16754150391</v>
      </c>
    </row>
    <row r="8" spans="1:3" ht="15" customHeight="1" x14ac:dyDescent="0.2">
      <c r="B8" s="5" t="s">
        <v>44</v>
      </c>
      <c r="C8" s="44">
        <v>1.4999999999999999E-2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0.72301658630371091</v>
      </c>
    </row>
    <row r="11" spans="1:3" ht="15" customHeight="1" x14ac:dyDescent="0.2">
      <c r="B11" s="5" t="s">
        <v>49</v>
      </c>
      <c r="C11" s="45">
        <v>0.59799999999999998</v>
      </c>
    </row>
    <row r="12" spans="1:3" ht="15" customHeight="1" x14ac:dyDescent="0.2">
      <c r="B12" s="5" t="s">
        <v>41</v>
      </c>
      <c r="C12" s="45">
        <v>0.72</v>
      </c>
    </row>
    <row r="13" spans="1:3" ht="15" customHeight="1" x14ac:dyDescent="0.2">
      <c r="B13" s="5" t="s">
        <v>62</v>
      </c>
      <c r="C13" s="45">
        <v>0.17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7.2499999999999995E-2</v>
      </c>
    </row>
    <row r="24" spans="1:3" ht="15" customHeight="1" x14ac:dyDescent="0.2">
      <c r="B24" s="15" t="s">
        <v>46</v>
      </c>
      <c r="C24" s="45">
        <v>0.54660000000000009</v>
      </c>
    </row>
    <row r="25" spans="1:3" ht="15" customHeight="1" x14ac:dyDescent="0.2">
      <c r="B25" s="15" t="s">
        <v>47</v>
      </c>
      <c r="C25" s="45">
        <v>0.3503</v>
      </c>
    </row>
    <row r="26" spans="1:3" ht="15" customHeight="1" x14ac:dyDescent="0.2">
      <c r="B26" s="15" t="s">
        <v>48</v>
      </c>
      <c r="C26" s="45">
        <v>3.0599999999999999E-2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0.35675533525383901</v>
      </c>
    </row>
    <row r="30" spans="1:3" ht="14.25" customHeight="1" x14ac:dyDescent="0.2">
      <c r="B30" s="25" t="s">
        <v>63</v>
      </c>
      <c r="C30" s="99">
        <v>6.5910586704521698E-2</v>
      </c>
    </row>
    <row r="31" spans="1:3" ht="14.25" customHeight="1" x14ac:dyDescent="0.2">
      <c r="B31" s="25" t="s">
        <v>10</v>
      </c>
      <c r="C31" s="99">
        <v>9.262041217609189E-2</v>
      </c>
    </row>
    <row r="32" spans="1:3" ht="14.25" customHeight="1" x14ac:dyDescent="0.2">
      <c r="B32" s="25" t="s">
        <v>11</v>
      </c>
      <c r="C32" s="99">
        <v>0.48471366586554798</v>
      </c>
    </row>
    <row r="33" spans="1:5" ht="13.15" customHeight="1" x14ac:dyDescent="0.2">
      <c r="B33" s="27" t="s">
        <v>60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11.001836432171499</v>
      </c>
    </row>
    <row r="38" spans="1:5" ht="15" customHeight="1" x14ac:dyDescent="0.2">
      <c r="B38" s="11" t="s">
        <v>35</v>
      </c>
      <c r="C38" s="43">
        <v>14.6811290482758</v>
      </c>
      <c r="D38" s="12"/>
      <c r="E38" s="13"/>
    </row>
    <row r="39" spans="1:5" ht="15" customHeight="1" x14ac:dyDescent="0.2">
      <c r="B39" s="11" t="s">
        <v>61</v>
      </c>
      <c r="C39" s="43">
        <v>16.5346939856564</v>
      </c>
      <c r="D39" s="12"/>
      <c r="E39" s="12"/>
    </row>
    <row r="40" spans="1:5" ht="15" customHeight="1" x14ac:dyDescent="0.2">
      <c r="B40" s="11" t="s">
        <v>36</v>
      </c>
      <c r="C40" s="100">
        <v>0.25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9.8383443699999997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2.0863099999999999E-2</v>
      </c>
      <c r="D45" s="12"/>
    </row>
    <row r="46" spans="1:5" ht="15.75" customHeight="1" x14ac:dyDescent="0.2">
      <c r="B46" s="11" t="s">
        <v>51</v>
      </c>
      <c r="C46" s="45">
        <v>8.2384900000000011E-2</v>
      </c>
      <c r="D46" s="12"/>
    </row>
    <row r="47" spans="1:5" ht="15.75" customHeight="1" x14ac:dyDescent="0.2">
      <c r="B47" s="11" t="s">
        <v>59</v>
      </c>
      <c r="C47" s="45">
        <v>9.9748199999999995E-2</v>
      </c>
      <c r="D47" s="12"/>
      <c r="E47" s="13"/>
    </row>
    <row r="48" spans="1:5" ht="15" customHeight="1" x14ac:dyDescent="0.2">
      <c r="B48" s="11" t="s">
        <v>58</v>
      </c>
      <c r="C48" s="46">
        <v>0.79700379999999993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3.2</v>
      </c>
      <c r="D51" s="12"/>
    </row>
    <row r="52" spans="1:4" ht="15" customHeight="1" x14ac:dyDescent="0.2">
      <c r="B52" s="11" t="s">
        <v>13</v>
      </c>
      <c r="C52" s="100">
        <v>3.2</v>
      </c>
    </row>
    <row r="53" spans="1:4" ht="15.75" customHeight="1" x14ac:dyDescent="0.2">
      <c r="B53" s="11" t="s">
        <v>16</v>
      </c>
      <c r="C53" s="100">
        <v>3.2</v>
      </c>
    </row>
    <row r="54" spans="1:4" ht="15.75" customHeight="1" x14ac:dyDescent="0.2">
      <c r="B54" s="11" t="s">
        <v>14</v>
      </c>
      <c r="C54" s="100">
        <v>3.2</v>
      </c>
    </row>
    <row r="55" spans="1:4" ht="15.75" customHeight="1" x14ac:dyDescent="0.2">
      <c r="B55" s="11" t="s">
        <v>15</v>
      </c>
      <c r="C55" s="100">
        <v>3.2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1.9375E-2</v>
      </c>
    </row>
    <row r="59" spans="1:4" ht="15.75" customHeight="1" x14ac:dyDescent="0.2">
      <c r="B59" s="11" t="s">
        <v>40</v>
      </c>
      <c r="C59" s="45">
        <v>0.54805599999999999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khnRQ8OjsvQQH3io730fTfgD84aoIFuJx7U4Ya4b6Hk4sgNDFT79s6KhMqP5tvWk00BRsPL5DVVcYOG2TaewUw==" saltValue="hCDWTaoqxCV4hjanzwtAJ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</v>
      </c>
      <c r="C2" s="98">
        <v>0.95</v>
      </c>
      <c r="D2" s="56">
        <v>94.372442366926933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40.694715471769477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984.17640503610096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3.2468228419975609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13.8270149155654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13.8270149155654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13.8270149155654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13.8270149155654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13.8270149155654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13.8270149155654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1.5337807154607439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22.51730204343292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22.51730204343292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</v>
      </c>
      <c r="C21" s="98">
        <v>0.95</v>
      </c>
      <c r="D21" s="56">
        <v>33.470736703655071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24.28824639048289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4.78860983208211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</v>
      </c>
      <c r="C27" s="98">
        <v>0.95</v>
      </c>
      <c r="D27" s="56">
        <v>19.387683306056729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0.91493892133719701</v>
      </c>
      <c r="C29" s="98">
        <v>0.95</v>
      </c>
      <c r="D29" s="56">
        <v>196.59554063194781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0.84398835910570635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</v>
      </c>
      <c r="C32" s="98">
        <v>0.95</v>
      </c>
      <c r="D32" s="56">
        <v>3.3770645537978279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3.7025050938422202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0.92326346124119496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Qy3rduGPs3kvUIBxqEVSuGGoTNfCq7E7L2cpMhNUx0FALqZwddT+UMfpv8MG4rRPRkRrt4pyVu3g0sGG2XrTlQ==" saltValue="FjSF7G340+IlGV03PQrJG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Q9MTtHsWLQ9PyDvSMKmIYtyTuh+4IYvm4/1YjnM7phkrSrFA/U+8nx8t1wLu0geQnSWBpQ2vzYaCBNll4H03rw==" saltValue="EblZL3QwXOdRYvatgYSHh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MfMZxfJyT9z8dQ5aGwOgGSXpjTBy39cL2//CdoqzLRpOY7feaSQ0jRCdRCZ8WPwyMf9VqlHT1rX2jJCtyjABKA==" saltValue="7GC8deSFmdkZsABj/kf2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">
      <c r="A3" s="3" t="s">
        <v>6</v>
      </c>
      <c r="B3" s="21">
        <f>frac_mam_1month * 2.6</f>
        <v>7.4863641746676382E-2</v>
      </c>
      <c r="C3" s="21">
        <f>frac_mam_1_5months * 2.6</f>
        <v>7.4863641746676382E-2</v>
      </c>
      <c r="D3" s="21">
        <f>frac_mam_6_11months * 2.6</f>
        <v>6.9755741869406848E-2</v>
      </c>
      <c r="E3" s="21">
        <f>frac_mam_12_23months * 2.6</f>
        <v>4.5638841189607905E-2</v>
      </c>
      <c r="F3" s="21">
        <f>frac_mam_24_59months * 2.6</f>
        <v>3.388538172207084E-2</v>
      </c>
    </row>
    <row r="4" spans="1:6" ht="15.75" customHeight="1" x14ac:dyDescent="0.2">
      <c r="A4" s="3" t="s">
        <v>207</v>
      </c>
      <c r="B4" s="21">
        <f>frac_sam_1month * 2.6</f>
        <v>4.4444193491540697E-2</v>
      </c>
      <c r="C4" s="21">
        <f>frac_sam_1_5months * 2.6</f>
        <v>4.4444193491540697E-2</v>
      </c>
      <c r="D4" s="21">
        <f>frac_sam_6_11months * 2.6</f>
        <v>2.6641044035594041E-2</v>
      </c>
      <c r="E4" s="21">
        <f>frac_sam_12_23months * 2.6</f>
        <v>1.8187397235948099E-2</v>
      </c>
      <c r="F4" s="21">
        <f>frac_sam_24_59months * 2.6</f>
        <v>1.1642928732624853E-2</v>
      </c>
    </row>
  </sheetData>
  <sheetProtection algorithmName="SHA-512" hashValue="00pkMadGy4AypAHF1nNhEhKAdNtscFqQlLWa53txB1zZERLwDFEj4zgkXw0YRz4UIbZ/+1Nz/tK8+vea72MPyA==" saltValue="aHgBr/jWuqIgcjma2EBKn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0.59799999999999998</v>
      </c>
      <c r="I18" s="60">
        <f>frac_PW_health_facility</f>
        <v>0.59799999999999998</v>
      </c>
      <c r="J18" s="60">
        <f>frac_PW_health_facility</f>
        <v>0.59799999999999998</v>
      </c>
      <c r="K18" s="60">
        <f>frac_PW_health_facility</f>
        <v>0.59799999999999998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0.17</v>
      </c>
      <c r="M24" s="60">
        <f>famplan_unmet_need</f>
        <v>0.17</v>
      </c>
      <c r="N24" s="60">
        <f>famplan_unmet_need</f>
        <v>0.17</v>
      </c>
      <c r="O24" s="60">
        <f>famplan_unmet_need</f>
        <v>0.17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0.13659437046432496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5.8540444484710692E-2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8.184859874725342E-2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0.7230165863037108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VRmgNuhlVAbYvUvyYjj7ozWDE9jeHuEJuAhghmYJ8zLZR210fXQQQXO3k6xp/keaBtlwYPXgA6tfSFE0Xg1IkQ==" saltValue="N1m68VXJ7fk3bRdhAkkYs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33hAzkzhByx8KnfYETKZLwc3ks8SVGcbE9DJugBlaFo7QFQaeiV3OfAwSrrsMtJJ026huuMCp1ljJLqO3X8hfw==" saltValue="bApuAHniRo8+ncOqOVpuj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3n+8f5jdgHx9J05L0txaUTwkq2ZJFLn7CpGehOoA4BF/F9PwVgiuHc1OdE5dMxfTUZkC2Rub8tooQ088Dhd7Lg==" saltValue="7hznEIOSg6L7mlVoPgJZq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1J8xVNTfyiljHR45MnyRcWllZVA6jS32iUcuN1x/q1sUiS2v21Z/clJh/PYZ/aFMHMHecLWd0/Gc2C9iLvIqGA==" saltValue="B7kaskRYfOuUdM9yX4b08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G/sW+hdENGMoVWCeMpm5v6NBgkfWUxd0of3nJO9o9/EDfCTXdf5b8Mt2Zvp+W8m/zbQ1dPe47iyL0xEDelKfkA==" saltValue="j7qNu/nnJvQOHHx0aV8+z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TsdhrkRQNza64fqSVYE7o88DBDTJKnIT8Pp1JL1x5iIXPRVJUwQJu1uQXy65cdEp7HxKgGPDwgqpsmiwjpIyPA==" saltValue="a6dQXY5nDheTPgym5lbX2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1836.098</v>
      </c>
      <c r="C2" s="49">
        <v>4200</v>
      </c>
      <c r="D2" s="49">
        <v>8800</v>
      </c>
      <c r="E2" s="49">
        <v>9700</v>
      </c>
      <c r="F2" s="49">
        <v>5900</v>
      </c>
      <c r="G2" s="17">
        <f t="shared" ref="G2:G11" si="0">C2+D2+E2+F2</f>
        <v>28600</v>
      </c>
      <c r="H2" s="17">
        <f t="shared" ref="H2:H11" si="1">(B2 + stillbirth*B2/(1000-stillbirth))/(1-abortion)</f>
        <v>2107.2064224426667</v>
      </c>
      <c r="I2" s="17">
        <f t="shared" ref="I2:I11" si="2">G2-H2</f>
        <v>26492.793577557335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1785.4760000000001</v>
      </c>
      <c r="C3" s="50">
        <v>4200</v>
      </c>
      <c r="D3" s="50">
        <v>8600</v>
      </c>
      <c r="E3" s="50">
        <v>9800</v>
      </c>
      <c r="F3" s="50">
        <v>6200</v>
      </c>
      <c r="G3" s="17">
        <f t="shared" si="0"/>
        <v>28800</v>
      </c>
      <c r="H3" s="17">
        <f t="shared" si="1"/>
        <v>2049.1098483399269</v>
      </c>
      <c r="I3" s="17">
        <f t="shared" si="2"/>
        <v>26750.890151660074</v>
      </c>
    </row>
    <row r="4" spans="1:9" ht="15.75" customHeight="1" x14ac:dyDescent="0.2">
      <c r="A4" s="5">
        <f t="shared" si="3"/>
        <v>2023</v>
      </c>
      <c r="B4" s="49">
        <v>1750.6253999999999</v>
      </c>
      <c r="C4" s="50">
        <v>4300</v>
      </c>
      <c r="D4" s="50">
        <v>8300</v>
      </c>
      <c r="E4" s="50">
        <v>9700</v>
      </c>
      <c r="F4" s="50">
        <v>6500</v>
      </c>
      <c r="G4" s="17">
        <f t="shared" si="0"/>
        <v>28800</v>
      </c>
      <c r="H4" s="17">
        <f t="shared" si="1"/>
        <v>2009.1133949120701</v>
      </c>
      <c r="I4" s="17">
        <f t="shared" si="2"/>
        <v>26790.88660508793</v>
      </c>
    </row>
    <row r="5" spans="1:9" ht="15.75" customHeight="1" x14ac:dyDescent="0.2">
      <c r="A5" s="5">
        <f t="shared" si="3"/>
        <v>2024</v>
      </c>
      <c r="B5" s="49">
        <v>1699.5432000000001</v>
      </c>
      <c r="C5" s="50">
        <v>4400</v>
      </c>
      <c r="D5" s="50">
        <v>8100</v>
      </c>
      <c r="E5" s="50">
        <v>9600</v>
      </c>
      <c r="F5" s="50">
        <v>6800</v>
      </c>
      <c r="G5" s="17">
        <f t="shared" si="0"/>
        <v>28900</v>
      </c>
      <c r="H5" s="17">
        <f t="shared" si="1"/>
        <v>1950.4886701356691</v>
      </c>
      <c r="I5" s="17">
        <f t="shared" si="2"/>
        <v>26949.51132986433</v>
      </c>
    </row>
    <row r="6" spans="1:9" ht="15.75" customHeight="1" x14ac:dyDescent="0.2">
      <c r="A6" s="5">
        <f t="shared" si="3"/>
        <v>2025</v>
      </c>
      <c r="B6" s="49">
        <v>1648.461</v>
      </c>
      <c r="C6" s="50">
        <v>4400</v>
      </c>
      <c r="D6" s="50">
        <v>8000</v>
      </c>
      <c r="E6" s="50">
        <v>9400</v>
      </c>
      <c r="F6" s="50">
        <v>7200</v>
      </c>
      <c r="G6" s="17">
        <f t="shared" si="0"/>
        <v>29000</v>
      </c>
      <c r="H6" s="17">
        <f t="shared" si="1"/>
        <v>1891.8639453592677</v>
      </c>
      <c r="I6" s="17">
        <f t="shared" si="2"/>
        <v>27108.13605464073</v>
      </c>
    </row>
    <row r="7" spans="1:9" ht="15.75" customHeight="1" x14ac:dyDescent="0.2">
      <c r="A7" s="5">
        <f t="shared" si="3"/>
        <v>2026</v>
      </c>
      <c r="B7" s="49">
        <v>1610.8098</v>
      </c>
      <c r="C7" s="50">
        <v>4500</v>
      </c>
      <c r="D7" s="50">
        <v>7900</v>
      </c>
      <c r="E7" s="50">
        <v>9300</v>
      </c>
      <c r="F7" s="50">
        <v>7600</v>
      </c>
      <c r="G7" s="17">
        <f t="shared" si="0"/>
        <v>29300</v>
      </c>
      <c r="H7" s="17">
        <f t="shared" si="1"/>
        <v>1848.6533702959143</v>
      </c>
      <c r="I7" s="17">
        <f t="shared" si="2"/>
        <v>27451.346629704087</v>
      </c>
    </row>
    <row r="8" spans="1:9" ht="15.75" customHeight="1" x14ac:dyDescent="0.2">
      <c r="A8" s="5">
        <f t="shared" si="3"/>
        <v>2027</v>
      </c>
      <c r="B8" s="49">
        <v>1587.3312000000001</v>
      </c>
      <c r="C8" s="50">
        <v>4500</v>
      </c>
      <c r="D8" s="50">
        <v>7700</v>
      </c>
      <c r="E8" s="50">
        <v>8900</v>
      </c>
      <c r="F8" s="50">
        <v>7900</v>
      </c>
      <c r="G8" s="17">
        <f t="shared" si="0"/>
        <v>29000</v>
      </c>
      <c r="H8" s="17">
        <f t="shared" si="1"/>
        <v>1821.7080456400613</v>
      </c>
      <c r="I8" s="17">
        <f t="shared" si="2"/>
        <v>27178.291954359938</v>
      </c>
    </row>
    <row r="9" spans="1:9" ht="15.75" customHeight="1" x14ac:dyDescent="0.2">
      <c r="A9" s="5">
        <f t="shared" si="3"/>
        <v>2028</v>
      </c>
      <c r="B9" s="49">
        <v>1549.3407999999999</v>
      </c>
      <c r="C9" s="50">
        <v>4500</v>
      </c>
      <c r="D9" s="50">
        <v>7700</v>
      </c>
      <c r="E9" s="50">
        <v>8600</v>
      </c>
      <c r="F9" s="50">
        <v>8300</v>
      </c>
      <c r="G9" s="17">
        <f t="shared" si="0"/>
        <v>29100</v>
      </c>
      <c r="H9" s="17">
        <f t="shared" si="1"/>
        <v>1778.1081861166774</v>
      </c>
      <c r="I9" s="17">
        <f t="shared" si="2"/>
        <v>27321.891813883321</v>
      </c>
    </row>
    <row r="10" spans="1:9" ht="15.75" customHeight="1" x14ac:dyDescent="0.2">
      <c r="A10" s="5">
        <f t="shared" si="3"/>
        <v>2029</v>
      </c>
      <c r="B10" s="49">
        <v>1511.3504</v>
      </c>
      <c r="C10" s="50">
        <v>4600</v>
      </c>
      <c r="D10" s="50">
        <v>7700</v>
      </c>
      <c r="E10" s="50">
        <v>8300</v>
      </c>
      <c r="F10" s="50">
        <v>8700</v>
      </c>
      <c r="G10" s="17">
        <f t="shared" si="0"/>
        <v>29300</v>
      </c>
      <c r="H10" s="17">
        <f t="shared" si="1"/>
        <v>1734.5083265932938</v>
      </c>
      <c r="I10" s="17">
        <f t="shared" si="2"/>
        <v>27565.491673406705</v>
      </c>
    </row>
    <row r="11" spans="1:9" ht="15.75" customHeight="1" x14ac:dyDescent="0.2">
      <c r="A11" s="5">
        <f t="shared" si="3"/>
        <v>2030</v>
      </c>
      <c r="B11" s="49">
        <v>1473.36</v>
      </c>
      <c r="C11" s="50">
        <v>4600</v>
      </c>
      <c r="D11" s="50">
        <v>7800</v>
      </c>
      <c r="E11" s="50">
        <v>8000</v>
      </c>
      <c r="F11" s="50">
        <v>8900</v>
      </c>
      <c r="G11" s="17">
        <f t="shared" si="0"/>
        <v>29300</v>
      </c>
      <c r="H11" s="17">
        <f t="shared" si="1"/>
        <v>1690.9084670699099</v>
      </c>
      <c r="I11" s="17">
        <f t="shared" si="2"/>
        <v>27609.091532930091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/1IB3wmJ09v5lads66Ht3OQYJZtB3RhxKdBfO0KGgpm0xMD5884KJOP1YUj/ZTRQpKDhN1GKsb0fV5v8KEU+qg==" saltValue="RvUPu5zzsWBi6iiuMOXJF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FmYfyWU6Nj4HYqkOaiXUw4foISHudfkhdCaR31vnWRZnT4qGKgvUdu82pGUM4pBXbiU/SBiK2wy4Ne7RNl6suQ==" saltValue="99JWuX8Z/sm5wMFbIpG7p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UVutTZ/FwdWTmoLMm4YB93to93HhjPyM6G4vfvyPY/VNQU6Q5dXJ4tkYc3gyvMZMuo3PKiRdJJawwa3qjGsMfg==" saltValue="PBznjh9X4mslHclxs1EMm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2j227khP1O5iSS7ttZGrZ348Xz0uPyY5n9d9Ni10nZ4uqgJuzqWBizlXkWiKWwDGKGe80n0Ij+Aq/iYUJs7x7Q==" saltValue="t4Uq4XHCd5vI+nrtGnuC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JqwI7X74aZswkuJIW0AQwLdcskHY+hOdCQAQkELzLSebWa9rviJZJC0y3tOPNZ+76nlXpNtQ0chNzxSNPJUI1A==" saltValue="vZAPoGM6OBpYAIjFZtyeC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JyhfC6XH8Idm9jiJwdaj8IWunBRz4vuMWoWB1kgK6X1Bog+XpNtCGXNUsYP2aF1aRBzMrFD33eEj2idZMMet9w==" saltValue="WJfhSqpXySCDZ+3z8ZWbQ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gsFPC0XS4fEetW3xWaqTErN8CakmbN7r5J5J8E9kuYCIAkSo80Gk4kd8zxzMRL20241JjJf7kG2qB5KnU8Yw==" saltValue="nkHM71348DML8Z3aFcDz+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Qp2RxWIUpS+pIuHbF2pvywyKD9hextfT0KG37Zs2DJ72to2SL6BS5Mddv95nBk7YG8wAovbdDUXoLi3YWwLFGA==" saltValue="scnercPddRJqM2O0ZOn5g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iDB97P2hmm0D3Vu88mb+4sOKhLqrUvxoplHanEt8cMzW/DJUi2uR5eNXtKjdP5ob86B/rK+undtf0VzwwUIz8g==" saltValue="8CFZ9nUe7gi0NviLCnV1c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dhmxy9yoZ5m5w26vOxAUQrop4NXfFkSbU6X/F5kOFojhxxeycP2AwQ2NU6rTi0JNEjAITxCirxKfEgCBQGCLlw==" saltValue="rawqc0zjbuHP5qTCgUgov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0</v>
      </c>
    </row>
    <row r="4" spans="1:8" ht="15.75" customHeight="1" x14ac:dyDescent="0.2">
      <c r="B4" s="19" t="s">
        <v>97</v>
      </c>
      <c r="C4" s="101">
        <v>0.19999999566545451</v>
      </c>
    </row>
    <row r="5" spans="1:8" ht="15.75" customHeight="1" x14ac:dyDescent="0.2">
      <c r="B5" s="19" t="s">
        <v>95</v>
      </c>
      <c r="C5" s="101">
        <v>0</v>
      </c>
    </row>
    <row r="6" spans="1:8" ht="15.75" customHeight="1" x14ac:dyDescent="0.2">
      <c r="B6" s="19" t="s">
        <v>91</v>
      </c>
      <c r="C6" s="101">
        <v>0.30000000433454549</v>
      </c>
    </row>
    <row r="7" spans="1:8" ht="15.75" customHeight="1" x14ac:dyDescent="0.2">
      <c r="B7" s="19" t="s">
        <v>96</v>
      </c>
      <c r="C7" s="101">
        <v>0.30000000433454549</v>
      </c>
    </row>
    <row r="8" spans="1:8" ht="15.75" customHeight="1" x14ac:dyDescent="0.2">
      <c r="B8" s="19" t="s">
        <v>98</v>
      </c>
      <c r="C8" s="101">
        <v>0</v>
      </c>
    </row>
    <row r="9" spans="1:8" ht="15.75" customHeight="1" x14ac:dyDescent="0.2">
      <c r="B9" s="19" t="s">
        <v>92</v>
      </c>
      <c r="C9" s="101">
        <v>0.19999999566545451</v>
      </c>
    </row>
    <row r="10" spans="1:8" ht="15.75" customHeight="1" x14ac:dyDescent="0.2">
      <c r="B10" s="19" t="s">
        <v>94</v>
      </c>
      <c r="C10" s="101">
        <v>0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0</v>
      </c>
      <c r="D14" s="55">
        <v>0</v>
      </c>
      <c r="E14" s="55">
        <v>0</v>
      </c>
      <c r="F14" s="55">
        <v>0</v>
      </c>
    </row>
    <row r="15" spans="1:8" ht="15.75" customHeight="1" x14ac:dyDescent="0.2">
      <c r="B15" s="19" t="s">
        <v>102</v>
      </c>
      <c r="C15" s="101">
        <v>5.0000001353181903E-2</v>
      </c>
      <c r="D15" s="101">
        <v>5.0000001353181903E-2</v>
      </c>
      <c r="E15" s="101">
        <v>5.0000001353181903E-2</v>
      </c>
      <c r="F15" s="101">
        <v>5.0000001353181903E-2</v>
      </c>
    </row>
    <row r="16" spans="1:8" ht="15.75" customHeight="1" x14ac:dyDescent="0.2">
      <c r="B16" s="19" t="s">
        <v>2</v>
      </c>
      <c r="C16" s="101">
        <v>0</v>
      </c>
      <c r="D16" s="101">
        <v>0</v>
      </c>
      <c r="E16" s="101">
        <v>0</v>
      </c>
      <c r="F16" s="101">
        <v>0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">
      <c r="B20" s="19" t="s">
        <v>79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">
      <c r="B21" s="19" t="s">
        <v>88</v>
      </c>
      <c r="C21" s="101">
        <v>0.14285714053896051</v>
      </c>
      <c r="D21" s="101">
        <v>0.14285714053896051</v>
      </c>
      <c r="E21" s="101">
        <v>0.14285714053896051</v>
      </c>
      <c r="F21" s="101">
        <v>0.14285714053896051</v>
      </c>
    </row>
    <row r="22" spans="1:8" ht="15.75" customHeight="1" x14ac:dyDescent="0.2">
      <c r="B22" s="19" t="s">
        <v>99</v>
      </c>
      <c r="C22" s="101">
        <v>0.80714285810785769</v>
      </c>
      <c r="D22" s="101">
        <v>0.80714285810785769</v>
      </c>
      <c r="E22" s="101">
        <v>0.80714285810785769</v>
      </c>
      <c r="F22" s="101">
        <v>0.80714285810785769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5.0426016999999997E-2</v>
      </c>
    </row>
    <row r="27" spans="1:8" ht="15.75" customHeight="1" x14ac:dyDescent="0.2">
      <c r="B27" s="19" t="s">
        <v>89</v>
      </c>
      <c r="C27" s="101">
        <v>4.7548858999999999E-2</v>
      </c>
    </row>
    <row r="28" spans="1:8" ht="15.75" customHeight="1" x14ac:dyDescent="0.2">
      <c r="B28" s="19" t="s">
        <v>103</v>
      </c>
      <c r="C28" s="101">
        <v>0.12571258499999999</v>
      </c>
    </row>
    <row r="29" spans="1:8" ht="15.75" customHeight="1" x14ac:dyDescent="0.2">
      <c r="B29" s="19" t="s">
        <v>86</v>
      </c>
      <c r="C29" s="101">
        <v>0.196091977</v>
      </c>
    </row>
    <row r="30" spans="1:8" ht="15.75" customHeight="1" x14ac:dyDescent="0.2">
      <c r="B30" s="19" t="s">
        <v>4</v>
      </c>
      <c r="C30" s="101">
        <v>6.7403012999999998E-2</v>
      </c>
    </row>
    <row r="31" spans="1:8" ht="15.75" customHeight="1" x14ac:dyDescent="0.2">
      <c r="B31" s="19" t="s">
        <v>80</v>
      </c>
      <c r="C31" s="101">
        <v>0.119314141</v>
      </c>
    </row>
    <row r="32" spans="1:8" ht="15.75" customHeight="1" x14ac:dyDescent="0.2">
      <c r="B32" s="19" t="s">
        <v>85</v>
      </c>
      <c r="C32" s="101">
        <v>3.6527864E-2</v>
      </c>
    </row>
    <row r="33" spans="2:3" ht="15.75" customHeight="1" x14ac:dyDescent="0.2">
      <c r="B33" s="19" t="s">
        <v>100</v>
      </c>
      <c r="C33" s="101">
        <v>0.152312374</v>
      </c>
    </row>
    <row r="34" spans="2:3" ht="15.75" customHeight="1" x14ac:dyDescent="0.2">
      <c r="B34" s="19" t="s">
        <v>87</v>
      </c>
      <c r="C34" s="101">
        <v>0.204663171</v>
      </c>
    </row>
    <row r="35" spans="2:3" ht="15.75" customHeight="1" x14ac:dyDescent="0.2">
      <c r="B35" s="27" t="s">
        <v>60</v>
      </c>
      <c r="C35" s="48">
        <f>SUM(C26:C34)</f>
        <v>1.0000000009999999</v>
      </c>
    </row>
  </sheetData>
  <sheetProtection algorithmName="SHA-512" hashValue="wJavivI4xBzD1PETLhs3YAZ+7ZiBlkPWsG6QZNMrRReamIRg+vc+JgddtusjqPelLMM+NT9pCQ2FnEpGJ/JZ0Q==" saltValue="ZfCnrnQqxuTPDXA+1llGC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0.57407130512757754</v>
      </c>
      <c r="D2" s="52">
        <f>IFERROR(1-_xlfn.NORM.DIST(_xlfn.NORM.INV(SUM(D4:D5), 0, 1) + 1, 0, 1, TRUE), "")</f>
        <v>0.57407130512757754</v>
      </c>
      <c r="E2" s="52">
        <f>IFERROR(1-_xlfn.NORM.DIST(_xlfn.NORM.INV(SUM(E4:E5), 0, 1) + 1, 0, 1, TRUE), "")</f>
        <v>0.54700007270029372</v>
      </c>
      <c r="F2" s="52">
        <f>IFERROR(1-_xlfn.NORM.DIST(_xlfn.NORM.INV(SUM(F4:F5), 0, 1) + 1, 0, 1, TRUE), "")</f>
        <v>0.39873837196518114</v>
      </c>
      <c r="G2" s="52">
        <f>IFERROR(1-_xlfn.NORM.DIST(_xlfn.NORM.INV(SUM(G4:G5), 0, 1) + 1, 0, 1, TRUE), "")</f>
        <v>0.40761746028673129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0.30826538590222607</v>
      </c>
      <c r="D3" s="52">
        <f>IFERROR(_xlfn.NORM.DIST(_xlfn.NORM.INV(SUM(D4:D5), 0, 1) + 1, 0, 1, TRUE) - SUM(D4:D5), "")</f>
        <v>0.30826538590222607</v>
      </c>
      <c r="E3" s="52">
        <f>IFERROR(_xlfn.NORM.DIST(_xlfn.NORM.INV(SUM(E4:E5), 0, 1) + 1, 0, 1, TRUE) - SUM(E4:E5), "")</f>
        <v>0.32123470354530753</v>
      </c>
      <c r="F3" s="52">
        <f>IFERROR(_xlfn.NORM.DIST(_xlfn.NORM.INV(SUM(F4:F5), 0, 1) + 1, 0, 1, TRUE) - SUM(F4:F5), "")</f>
        <v>0.37263761030032166</v>
      </c>
      <c r="G3" s="52">
        <f>IFERROR(_xlfn.NORM.DIST(_xlfn.NORM.INV(SUM(G4:G5), 0, 1) + 1, 0, 1, TRUE) - SUM(G4:G5), "")</f>
        <v>0.37064015583398641</v>
      </c>
    </row>
    <row r="4" spans="1:15" ht="15.75" customHeight="1" x14ac:dyDescent="0.2">
      <c r="B4" s="5" t="s">
        <v>110</v>
      </c>
      <c r="C4" s="45">
        <v>7.7066712124662401E-2</v>
      </c>
      <c r="D4" s="53">
        <v>7.7066712124662401E-2</v>
      </c>
      <c r="E4" s="53">
        <v>9.6537371135483094E-2</v>
      </c>
      <c r="F4" s="53">
        <v>0.154515657154602</v>
      </c>
      <c r="G4" s="53">
        <v>0.1536915783434</v>
      </c>
    </row>
    <row r="5" spans="1:15" ht="15.75" customHeight="1" x14ac:dyDescent="0.2">
      <c r="B5" s="5" t="s">
        <v>106</v>
      </c>
      <c r="C5" s="45">
        <v>4.0596596845534003E-2</v>
      </c>
      <c r="D5" s="53">
        <v>4.0596596845534003E-2</v>
      </c>
      <c r="E5" s="53">
        <v>3.52278526189157E-2</v>
      </c>
      <c r="F5" s="53">
        <v>7.4108360579895199E-2</v>
      </c>
      <c r="G5" s="53">
        <v>6.8050805535882303E-2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0.75367707358044445</v>
      </c>
      <c r="D8" s="52">
        <f>IFERROR(1-_xlfn.NORM.DIST(_xlfn.NORM.INV(SUM(D10:D11), 0, 1) + 1, 0, 1, TRUE), "")</f>
        <v>0.75367707358044445</v>
      </c>
      <c r="E8" s="52">
        <f>IFERROR(1-_xlfn.NORM.DIST(_xlfn.NORM.INV(SUM(E10:E11), 0, 1) + 1, 0, 1, TRUE), "")</f>
        <v>0.78397198700179249</v>
      </c>
      <c r="F8" s="52">
        <f>IFERROR(1-_xlfn.NORM.DIST(_xlfn.NORM.INV(SUM(F10:F11), 0, 1) + 1, 0, 1, TRUE), "")</f>
        <v>0.83341473595774673</v>
      </c>
      <c r="G8" s="52">
        <f>IFERROR(1-_xlfn.NORM.DIST(_xlfn.NORM.INV(SUM(G10:G11), 0, 1) + 1, 0, 1, TRUE), "")</f>
        <v>0.86609209058222447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0.20043529748177974</v>
      </c>
      <c r="D9" s="52">
        <f>IFERROR(_xlfn.NORM.DIST(_xlfn.NORM.INV(SUM(D10:D11), 0, 1) + 1, 0, 1, TRUE) - SUM(D10:D11), "")</f>
        <v>0.20043529748177974</v>
      </c>
      <c r="E9" s="52">
        <f>IFERROR(_xlfn.NORM.DIST(_xlfn.NORM.INV(SUM(E10:E11), 0, 1) + 1, 0, 1, TRUE) - SUM(E10:E11), "")</f>
        <v>0.17895232611166867</v>
      </c>
      <c r="F9" s="52">
        <f>IFERROR(_xlfn.NORM.DIST(_xlfn.NORM.INV(SUM(F10:F11), 0, 1) + 1, 0, 1, TRUE) - SUM(F10:F11), "")</f>
        <v>0.14203671080165478</v>
      </c>
      <c r="G9" s="52">
        <f>IFERROR(_xlfn.NORM.DIST(_xlfn.NORM.INV(SUM(G10:G11), 0, 1) + 1, 0, 1, TRUE) - SUM(G10:G11), "")</f>
        <v>0.11639702078135408</v>
      </c>
    </row>
    <row r="10" spans="1:15" ht="15.75" customHeight="1" x14ac:dyDescent="0.2">
      <c r="B10" s="5" t="s">
        <v>107</v>
      </c>
      <c r="C10" s="45">
        <v>2.8793708364106298E-2</v>
      </c>
      <c r="D10" s="53">
        <v>2.8793708364106298E-2</v>
      </c>
      <c r="E10" s="53">
        <v>2.6829131488233401E-2</v>
      </c>
      <c r="F10" s="53">
        <v>1.7553400457541501E-2</v>
      </c>
      <c r="G10" s="53">
        <v>1.30328391238734E-2</v>
      </c>
    </row>
    <row r="11" spans="1:15" ht="15.75" customHeight="1" x14ac:dyDescent="0.2">
      <c r="B11" s="5" t="s">
        <v>119</v>
      </c>
      <c r="C11" s="45">
        <v>1.7093920573669499E-2</v>
      </c>
      <c r="D11" s="53">
        <v>1.7093920573669499E-2</v>
      </c>
      <c r="E11" s="53">
        <v>1.02465553983054E-2</v>
      </c>
      <c r="F11" s="53">
        <v>6.9951527830569614E-3</v>
      </c>
      <c r="G11" s="53">
        <v>4.4780495125480201E-3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0.62359459274999995</v>
      </c>
      <c r="D14" s="54">
        <v>0.59193918951699998</v>
      </c>
      <c r="E14" s="54">
        <v>0.59193918951699998</v>
      </c>
      <c r="F14" s="54">
        <v>0.38638310174000012</v>
      </c>
      <c r="G14" s="54">
        <v>0.38638310174000012</v>
      </c>
      <c r="H14" s="45">
        <v>0.27500000000000002</v>
      </c>
      <c r="I14" s="55">
        <v>0.27500000000000002</v>
      </c>
      <c r="J14" s="55">
        <v>0.27500000000000002</v>
      </c>
      <c r="K14" s="55">
        <v>0.27500000000000002</v>
      </c>
      <c r="L14" s="45">
        <v>0.23300000000000001</v>
      </c>
      <c r="M14" s="55">
        <v>0.23300000000000001</v>
      </c>
      <c r="N14" s="55">
        <v>0.23300000000000001</v>
      </c>
      <c r="O14" s="55">
        <v>0.23300000000000001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0.34176475812419399</v>
      </c>
      <c r="D15" s="52">
        <f t="shared" si="0"/>
        <v>0.32441582444992895</v>
      </c>
      <c r="E15" s="52">
        <f t="shared" si="0"/>
        <v>0.32441582444992895</v>
      </c>
      <c r="F15" s="52">
        <f t="shared" si="0"/>
        <v>0.2117595772072175</v>
      </c>
      <c r="G15" s="52">
        <f t="shared" si="0"/>
        <v>0.2117595772072175</v>
      </c>
      <c r="H15" s="52">
        <f t="shared" si="0"/>
        <v>0.1507154</v>
      </c>
      <c r="I15" s="52">
        <f t="shared" si="0"/>
        <v>0.1507154</v>
      </c>
      <c r="J15" s="52">
        <f t="shared" si="0"/>
        <v>0.1507154</v>
      </c>
      <c r="K15" s="52">
        <f t="shared" si="0"/>
        <v>0.1507154</v>
      </c>
      <c r="L15" s="52">
        <f t="shared" si="0"/>
        <v>0.12769704800000001</v>
      </c>
      <c r="M15" s="52">
        <f t="shared" si="0"/>
        <v>0.12769704800000001</v>
      </c>
      <c r="N15" s="52">
        <f t="shared" si="0"/>
        <v>0.12769704800000001</v>
      </c>
      <c r="O15" s="52">
        <f t="shared" si="0"/>
        <v>0.12769704800000001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bZDcY4XcWjVZ1z64bsLD+E2+I2KBdzSz3PGvWb9bXpqQeI97crx/wZX5hlNtKQlL3ti8c5zq5JVJjKt0+BcYaQ==" saltValue="MoC5+WixngM29pNN+cmz4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0.539549017457844</v>
      </c>
      <c r="D2" s="53">
        <v>0.35821986807407402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0.12103883821986</v>
      </c>
      <c r="D3" s="53">
        <v>0.131303384925926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0.29482791161944599</v>
      </c>
      <c r="D4" s="53">
        <v>0.41057137481481498</v>
      </c>
      <c r="E4" s="53">
        <v>0.74607760248789901</v>
      </c>
      <c r="F4" s="53">
        <v>0.48696238432407402</v>
      </c>
      <c r="G4" s="53">
        <v>0</v>
      </c>
    </row>
    <row r="5" spans="1:7" x14ac:dyDescent="0.2">
      <c r="B5" s="3" t="s">
        <v>125</v>
      </c>
      <c r="C5" s="52">
        <v>4.4565622925755513E-2</v>
      </c>
      <c r="D5" s="52">
        <v>0.10012991372397</v>
      </c>
      <c r="E5" s="52">
        <f>1-SUM(E2:E4)</f>
        <v>0.25392239751210099</v>
      </c>
      <c r="F5" s="52">
        <f>1-SUM(F2:F4)</f>
        <v>0.51303761567592598</v>
      </c>
      <c r="G5" s="52">
        <f>1-SUM(G2:G4)</f>
        <v>1</v>
      </c>
    </row>
  </sheetData>
  <sheetProtection algorithmName="SHA-512" hashValue="M3w96oWDq7zTKXUiRhHQTP1xvjZr4l1r0XDXegS1wdUARoTFqkyj+PVzBQilu+qgpDicfkAnQANLsdUs3kGRmw==" saltValue="Ez8BHjXybG8MglwFOpz/8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xTyEeUYZ+zmb+Dp/DbFrda0Ud3tdadoB/7Z5Mcl/2aAAytOo6O120jiN0+94VUlPeHdMWORk4N7YoMeglX1ndQ==" saltValue="qpWXEUWva6aFC+qsFtxjJ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gTe/s4bRzceRXwK3oy8rdUWxSLb6KVhV9IiOEW+9/XvtPZMEFvicrIbD/ZmtXv7QdGVEO/JGyZ2TKk8oZM29iA==" saltValue="TFIds0jffssAQ44mndHda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m4BWXQj11WNGijAJPNy1ZCL0iDQ/m67T44iBlcaYpBQbgsctgT7wRYHqDTjGpT4YEs/FPd2qeaGSe1GbiaWGug==" saltValue="ADSehpH3JoIOtAscF7bR0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9HveER7xW9gdQW4mMPPBA+y+MWUOZu50w8kcVPDfOEcIUdQv9jfOWA0VoTrVHfjwSV5y0YUMLvzVrnsrHHgYng==" saltValue="05/OUrSbC7hG21E0Q+UfY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2023-01-25T11:32:06Z</dcterms:modified>
</cp:coreProperties>
</file>