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es\LiST countries\"/>
    </mc:Choice>
  </mc:AlternateContent>
  <xr:revisionPtr revIDLastSave="0" documentId="8_{D42989F6-3F33-4696-9F05-618B528C854C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I39" i="2" s="1"/>
  <c r="G39" i="2"/>
  <c r="H38" i="2"/>
  <c r="I38" i="2" s="1"/>
  <c r="G38" i="2"/>
  <c r="A33" i="2"/>
  <c r="A32" i="2"/>
  <c r="A24" i="2"/>
  <c r="A17" i="2"/>
  <c r="A16" i="2"/>
  <c r="H11" i="2"/>
  <c r="G11" i="2"/>
  <c r="I11" i="2" s="1"/>
  <c r="H10" i="2"/>
  <c r="I10" i="2" s="1"/>
  <c r="G10" i="2"/>
  <c r="H9" i="2"/>
  <c r="G9" i="2"/>
  <c r="I9" i="2" s="1"/>
  <c r="H8" i="2"/>
  <c r="G8" i="2"/>
  <c r="H7" i="2"/>
  <c r="G7" i="2"/>
  <c r="I7" i="2" s="1"/>
  <c r="H6" i="2"/>
  <c r="G6" i="2"/>
  <c r="H5" i="2"/>
  <c r="G5" i="2"/>
  <c r="H4" i="2"/>
  <c r="G4" i="2"/>
  <c r="H3" i="2"/>
  <c r="G3" i="2"/>
  <c r="I3" i="2" s="1"/>
  <c r="A3" i="2"/>
  <c r="H2" i="2"/>
  <c r="G2" i="2"/>
  <c r="A2" i="2"/>
  <c r="A31" i="2" s="1"/>
  <c r="C33" i="1"/>
  <c r="C20" i="1"/>
  <c r="I4" i="2" l="1"/>
  <c r="I5" i="2"/>
  <c r="A18" i="2"/>
  <c r="I6" i="2"/>
  <c r="A25" i="2"/>
  <c r="A26" i="2"/>
  <c r="I8" i="2"/>
  <c r="A34" i="2"/>
  <c r="I2" i="2"/>
  <c r="A39" i="2"/>
  <c r="A19" i="2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  <c r="A37" i="2"/>
  <c r="D58" i="20"/>
  <c r="A14" i="2"/>
  <c r="A22" i="2"/>
  <c r="A30" i="2"/>
  <c r="A38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<sst xmlns="http://schemas.openxmlformats.org/spreadsheetml/2006/main" count="2092" uniqueCount="341">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</sst>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19</v>
      </c>
      <c r="B1" s="29" t="s">
        <v>0</v>
      </c>
      <c r="C1" s="29" t="s">
        <v>24</v>
      </c>
    </row>
    <row r="2" spans="1:3" ht="15.95" customHeight="1" x14ac:dyDescent="0.2">
      <c r="A2" s="8" t="s">
        <v>55</v>
      </c>
      <c r="B2" s="29"/>
      <c r="C2" s="29"/>
    </row>
    <row r="3" spans="1:3" ht="15.95" customHeight="1" x14ac:dyDescent="0.2">
      <c r="A3" s="1"/>
      <c r="B3" s="5" t="s">
        <v>18</v>
      </c>
      <c r="C3" s="41">
        <v>2021</v>
      </c>
    </row>
    <row r="4" spans="1:3" ht="15.95" customHeight="1" x14ac:dyDescent="0.2">
      <c r="A4" s="1"/>
      <c r="B4" s="5" t="s">
        <v>26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50</v>
      </c>
    </row>
    <row r="7" spans="1:3" ht="15" customHeight="1" x14ac:dyDescent="0.2">
      <c r="B7" s="11" t="s">
        <v>23</v>
      </c>
      <c r="C7" s="43">
        <v>1910420.984375</v>
      </c>
    </row>
    <row r="8" spans="1:3" ht="15" customHeight="1" x14ac:dyDescent="0.2">
      <c r="B8" s="5" t="s">
        <v>44</v>
      </c>
      <c r="C8" s="44">
        <v>0</v>
      </c>
    </row>
    <row r="9" spans="1:3" ht="15" customHeight="1" x14ac:dyDescent="0.2">
      <c r="B9" s="5" t="s">
        <v>43</v>
      </c>
      <c r="C9" s="45">
        <v>0.01</v>
      </c>
    </row>
    <row r="10" spans="1:3" ht="15" customHeight="1" x14ac:dyDescent="0.2">
      <c r="B10" s="5" t="s">
        <v>56</v>
      </c>
      <c r="C10" s="45">
        <v>1</v>
      </c>
    </row>
    <row r="11" spans="1:3" ht="15" customHeight="1" x14ac:dyDescent="0.2">
      <c r="B11" s="5" t="s">
        <v>49</v>
      </c>
      <c r="C11" s="45">
        <v>0.95299999999999996</v>
      </c>
    </row>
    <row r="12" spans="1:3" ht="15" customHeight="1" x14ac:dyDescent="0.2">
      <c r="B12" s="5" t="s">
        <v>41</v>
      </c>
      <c r="C12" s="45">
        <v>0.81200000000000006</v>
      </c>
    </row>
    <row r="13" spans="1:3" ht="15" customHeight="1" x14ac:dyDescent="0.2">
      <c r="B13" s="5" t="s">
        <v>62</v>
      </c>
      <c r="C13" s="45">
        <v>0.20399999999999999</v>
      </c>
    </row>
    <row r="14" spans="1:3" ht="15" customHeight="1" x14ac:dyDescent="0.2">
      <c r="B14" s="8"/>
    </row>
    <row r="15" spans="1:3" ht="15" customHeight="1" x14ac:dyDescent="0.2">
      <c r="A15" s="8" t="s">
        <v>28</v>
      </c>
      <c r="B15" s="14"/>
      <c r="C15" s="3"/>
    </row>
    <row r="16" spans="1:3" ht="15" customHeight="1" x14ac:dyDescent="0.2">
      <c r="B16" s="5" t="s">
        <v>33</v>
      </c>
      <c r="C16" s="45">
        <v>0.1</v>
      </c>
    </row>
    <row r="17" spans="1:3" ht="15" customHeight="1" x14ac:dyDescent="0.2">
      <c r="B17" s="5" t="s">
        <v>30</v>
      </c>
      <c r="C17" s="45">
        <v>0.7</v>
      </c>
    </row>
    <row r="18" spans="1:3" ht="15" customHeight="1" x14ac:dyDescent="0.2">
      <c r="B18" s="5" t="s">
        <v>31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34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12</v>
      </c>
    </row>
    <row r="23" spans="1:3" ht="15" customHeight="1" x14ac:dyDescent="0.2">
      <c r="B23" s="15" t="s">
        <v>45</v>
      </c>
      <c r="C23" s="45">
        <v>8.2799999999999999E-2</v>
      </c>
    </row>
    <row r="24" spans="1:3" ht="15" customHeight="1" x14ac:dyDescent="0.2">
      <c r="B24" s="15" t="s">
        <v>46</v>
      </c>
      <c r="C24" s="45">
        <v>0.55079999999999996</v>
      </c>
    </row>
    <row r="25" spans="1:3" ht="15" customHeight="1" x14ac:dyDescent="0.2">
      <c r="B25" s="15" t="s">
        <v>47</v>
      </c>
      <c r="C25" s="45">
        <v>0.33279999999999998</v>
      </c>
    </row>
    <row r="26" spans="1:3" ht="15" customHeight="1" x14ac:dyDescent="0.2">
      <c r="B26" s="15" t="s">
        <v>48</v>
      </c>
      <c r="C26" s="45">
        <v>3.3599999999999998E-2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22</v>
      </c>
      <c r="B28" s="15"/>
      <c r="C28" s="15"/>
    </row>
    <row r="29" spans="1:3" ht="14.25" customHeight="1" x14ac:dyDescent="0.2">
      <c r="B29" s="25" t="s">
        <v>27</v>
      </c>
      <c r="C29" s="45">
        <v>0.36614845468901602</v>
      </c>
    </row>
    <row r="30" spans="1:3" ht="14.25" customHeight="1" x14ac:dyDescent="0.2">
      <c r="B30" s="25" t="s">
        <v>63</v>
      </c>
      <c r="C30" s="99">
        <v>8.5813228127425589E-2</v>
      </c>
    </row>
    <row r="31" spans="1:3" ht="14.25" customHeight="1" x14ac:dyDescent="0.2">
      <c r="B31" s="25" t="s">
        <v>10</v>
      </c>
      <c r="C31" s="99">
        <v>0.11932858169641999</v>
      </c>
    </row>
    <row r="32" spans="1:3" ht="14.25" customHeight="1" x14ac:dyDescent="0.2">
      <c r="B32" s="25" t="s">
        <v>11</v>
      </c>
      <c r="C32" s="99">
        <v>0.42870973548713898</v>
      </c>
    </row>
    <row r="33" spans="1:5" ht="13.15" customHeight="1" x14ac:dyDescent="0.2">
      <c r="B33" s="27" t="s">
        <v>60</v>
      </c>
      <c r="C33" s="48">
        <f>SUM(C29:C32)</f>
        <v>1.0000000000000004</v>
      </c>
    </row>
    <row r="34" spans="1:5" ht="15" customHeight="1" x14ac:dyDescent="0.2"/>
    <row r="35" spans="1:5" ht="15" customHeight="1" x14ac:dyDescent="0.2">
      <c r="A35" s="4" t="s">
        <v>20</v>
      </c>
    </row>
    <row r="36" spans="1:5" ht="15" customHeight="1" x14ac:dyDescent="0.2">
      <c r="A36" s="8" t="s">
        <v>37</v>
      </c>
      <c r="B36" s="5"/>
    </row>
    <row r="37" spans="1:5" ht="15" customHeight="1" x14ac:dyDescent="0.2">
      <c r="B37" s="11" t="s">
        <v>38</v>
      </c>
      <c r="C37" s="43">
        <v>4.6644885199815</v>
      </c>
    </row>
    <row r="38" spans="1:5" ht="15" customHeight="1" x14ac:dyDescent="0.2">
      <c r="B38" s="11" t="s">
        <v>35</v>
      </c>
      <c r="C38" s="43">
        <v>9.3023771690621295</v>
      </c>
      <c r="D38" s="12"/>
      <c r="E38" s="13"/>
    </row>
    <row r="39" spans="1:5" ht="15" customHeight="1" x14ac:dyDescent="0.2">
      <c r="B39" s="11" t="s">
        <v>61</v>
      </c>
      <c r="C39" s="43">
        <v>10.45053003804</v>
      </c>
      <c r="D39" s="12"/>
      <c r="E39" s="12"/>
    </row>
    <row r="40" spans="1:5" ht="15" customHeight="1" x14ac:dyDescent="0.2">
      <c r="B40" s="11" t="s">
        <v>36</v>
      </c>
      <c r="C40" s="100">
        <v>0.1</v>
      </c>
    </row>
    <row r="41" spans="1:5" ht="15" customHeight="1" x14ac:dyDescent="0.2">
      <c r="B41" s="11" t="s">
        <v>32</v>
      </c>
      <c r="C41" s="45">
        <v>0.12</v>
      </c>
    </row>
    <row r="42" spans="1:5" ht="15" customHeight="1" x14ac:dyDescent="0.2">
      <c r="B42" s="11" t="s">
        <v>57</v>
      </c>
      <c r="C42" s="43">
        <v>5.3894673099999997</v>
      </c>
    </row>
    <row r="43" spans="1:5" ht="15.75" customHeight="1" x14ac:dyDescent="0.2">
      <c r="D43" s="12"/>
    </row>
    <row r="44" spans="1:5" ht="15.75" customHeight="1" x14ac:dyDescent="0.2">
      <c r="A44" s="8" t="s">
        <v>21</v>
      </c>
      <c r="D44" s="12"/>
    </row>
    <row r="45" spans="1:5" ht="15.75" customHeight="1" x14ac:dyDescent="0.2">
      <c r="B45" s="11" t="s">
        <v>52</v>
      </c>
      <c r="C45" s="45">
        <v>1.9697900000000001E-2</v>
      </c>
      <c r="D45" s="12"/>
    </row>
    <row r="46" spans="1:5" ht="15.75" customHeight="1" x14ac:dyDescent="0.2">
      <c r="B46" s="11" t="s">
        <v>51</v>
      </c>
      <c r="C46" s="45">
        <v>6.8631880000000006E-2</v>
      </c>
      <c r="D46" s="12"/>
    </row>
    <row r="47" spans="1:5" ht="15.75" customHeight="1" x14ac:dyDescent="0.2">
      <c r="B47" s="11" t="s">
        <v>59</v>
      </c>
      <c r="C47" s="45">
        <v>0.1458518</v>
      </c>
      <c r="D47" s="12"/>
      <c r="E47" s="13"/>
    </row>
    <row r="48" spans="1:5" ht="15" customHeight="1" x14ac:dyDescent="0.2">
      <c r="B48" s="11" t="s">
        <v>58</v>
      </c>
      <c r="C48" s="46">
        <v>0.76581842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25</v>
      </c>
      <c r="D50" s="12"/>
    </row>
    <row r="51" spans="1:4" ht="15.75" customHeight="1" x14ac:dyDescent="0.2">
      <c r="B51" s="11" t="s">
        <v>17</v>
      </c>
      <c r="C51" s="100">
        <v>2.8</v>
      </c>
      <c r="D51" s="12"/>
    </row>
    <row r="52" spans="1:4" ht="15" customHeight="1" x14ac:dyDescent="0.2">
      <c r="B52" s="11" t="s">
        <v>13</v>
      </c>
      <c r="C52" s="100">
        <v>2.8</v>
      </c>
    </row>
    <row r="53" spans="1:4" ht="15.75" customHeight="1" x14ac:dyDescent="0.2">
      <c r="B53" s="11" t="s">
        <v>16</v>
      </c>
      <c r="C53" s="100">
        <v>2.8</v>
      </c>
    </row>
    <row r="54" spans="1:4" ht="15.75" customHeight="1" x14ac:dyDescent="0.2">
      <c r="B54" s="11" t="s">
        <v>14</v>
      </c>
      <c r="C54" s="100">
        <v>2.8</v>
      </c>
    </row>
    <row r="55" spans="1:4" ht="15.75" customHeight="1" x14ac:dyDescent="0.2">
      <c r="B55" s="11" t="s">
        <v>15</v>
      </c>
      <c r="C55" s="100">
        <v>2.8</v>
      </c>
    </row>
    <row r="57" spans="1:4" ht="15.75" customHeight="1" x14ac:dyDescent="0.2">
      <c r="A57" s="8" t="s">
        <v>39</v>
      </c>
    </row>
    <row r="58" spans="1:4" ht="15.75" customHeight="1" x14ac:dyDescent="0.2">
      <c r="B58" s="5" t="s">
        <v>42</v>
      </c>
      <c r="C58" s="45">
        <v>1.6428571428571431E-2</v>
      </c>
    </row>
    <row r="59" spans="1:4" ht="15.75" customHeight="1" x14ac:dyDescent="0.2">
      <c r="B59" s="11" t="s">
        <v>40</v>
      </c>
      <c r="C59" s="45">
        <v>0.6155790000000001</v>
      </c>
    </row>
    <row r="60" spans="1:4" ht="15.75" customHeight="1" x14ac:dyDescent="0.2">
      <c r="B60" s="11" t="s">
        <v>54</v>
      </c>
      <c r="C60" s="45">
        <v>4.5999999999999999E-2</v>
      </c>
    </row>
    <row r="61" spans="1:4" ht="15.75" customHeight="1" x14ac:dyDescent="0.2">
      <c r="B61" s="11" t="s">
        <v>53</v>
      </c>
      <c r="C61" s="45">
        <v>1.4E-2</v>
      </c>
    </row>
    <row r="62" spans="1:4" ht="15.75" customHeight="1" x14ac:dyDescent="0.2">
      <c r="B62" s="11" t="s">
        <v>64</v>
      </c>
      <c r="C62" s="44">
        <v>5.4285702999999901E-2</v>
      </c>
    </row>
    <row r="63" spans="1:4" ht="15.75" customHeight="1" x14ac:dyDescent="0.2">
      <c r="A63" s="4"/>
    </row>
  </sheetData>
  <sheetProtection algorithmName="SHA-512" hashValue="BjUTQ+ql/gMLA3J9fuvHvWEm9zsNK1g+O1z7CXZPE7reiceL0n2xgCXhmbjnpojout3CHYfiQH7zzurKkmukrg==" saltValue="nYkBvSQEgJB4u8XIEHMSm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">
      <c r="A2" s="5">
        <f>start_year</f>
        <v>2021</v>
      </c>
      <c r="B2" s="49">
        <v>341528.94760000001</v>
      </c>
      <c r="C2" s="49">
        <v>584000</v>
      </c>
      <c r="D2" s="49">
        <v>1228000</v>
      </c>
      <c r="E2" s="49">
        <v>1559000</v>
      </c>
      <c r="F2" s="49">
        <v>1187000</v>
      </c>
      <c r="G2" s="17">
        <f t="shared" ref="G2:G11" si="0">C2+D2+E2+F2</f>
        <v>4558000</v>
      </c>
      <c r="H2" s="17">
        <f t="shared" ref="H2:H11" si="1">(B2 + stillbirth*B2/(1000-stillbirth))/(1-abortion)</f>
        <v>390204.06889170263</v>
      </c>
      <c r="I2" s="17">
        <f t="shared" ref="I2:I11" si="2">G2-H2</f>
        <v>4167795.9311082973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335671.64820000011</v>
      </c>
      <c r="C3" s="50">
        <v>627000</v>
      </c>
      <c r="D3" s="50">
        <v>1173000</v>
      </c>
      <c r="E3" s="50">
        <v>1587000</v>
      </c>
      <c r="F3" s="50">
        <v>1198000</v>
      </c>
      <c r="G3" s="17">
        <f t="shared" si="0"/>
        <v>4585000</v>
      </c>
      <c r="H3" s="17">
        <f t="shared" si="1"/>
        <v>383511.9800522122</v>
      </c>
      <c r="I3" s="17">
        <f t="shared" si="2"/>
        <v>4201488.0199477877</v>
      </c>
    </row>
    <row r="4" spans="1:9" ht="15.75" customHeight="1" x14ac:dyDescent="0.2">
      <c r="A4" s="5">
        <f t="shared" si="3"/>
        <v>2023</v>
      </c>
      <c r="B4" s="49">
        <v>329550.55920000008</v>
      </c>
      <c r="C4" s="50">
        <v>677000</v>
      </c>
      <c r="D4" s="50">
        <v>1127000</v>
      </c>
      <c r="E4" s="50">
        <v>1603000</v>
      </c>
      <c r="F4" s="50">
        <v>1210000</v>
      </c>
      <c r="G4" s="17">
        <f t="shared" si="0"/>
        <v>4617000</v>
      </c>
      <c r="H4" s="17">
        <f t="shared" si="1"/>
        <v>376518.50599786744</v>
      </c>
      <c r="I4" s="17">
        <f t="shared" si="2"/>
        <v>4240481.4940021327</v>
      </c>
    </row>
    <row r="5" spans="1:9" ht="15.75" customHeight="1" x14ac:dyDescent="0.2">
      <c r="A5" s="5">
        <f t="shared" si="3"/>
        <v>2024</v>
      </c>
      <c r="B5" s="49">
        <v>323174.17300000013</v>
      </c>
      <c r="C5" s="50">
        <v>729000</v>
      </c>
      <c r="D5" s="50">
        <v>1098000</v>
      </c>
      <c r="E5" s="50">
        <v>1602000</v>
      </c>
      <c r="F5" s="50">
        <v>1229000</v>
      </c>
      <c r="G5" s="17">
        <f t="shared" si="0"/>
        <v>4658000</v>
      </c>
      <c r="H5" s="17">
        <f t="shared" si="1"/>
        <v>369233.34947585297</v>
      </c>
      <c r="I5" s="17">
        <f t="shared" si="2"/>
        <v>4288766.6505241469</v>
      </c>
    </row>
    <row r="6" spans="1:9" ht="15.75" customHeight="1" x14ac:dyDescent="0.2">
      <c r="A6" s="5">
        <f t="shared" si="3"/>
        <v>2025</v>
      </c>
      <c r="B6" s="49">
        <v>316550.98200000002</v>
      </c>
      <c r="C6" s="50">
        <v>779000</v>
      </c>
      <c r="D6" s="50">
        <v>1091000</v>
      </c>
      <c r="E6" s="50">
        <v>1582000</v>
      </c>
      <c r="F6" s="50">
        <v>1260000</v>
      </c>
      <c r="G6" s="17">
        <f t="shared" si="0"/>
        <v>4712000</v>
      </c>
      <c r="H6" s="17">
        <f t="shared" si="1"/>
        <v>361666.2132333527</v>
      </c>
      <c r="I6" s="17">
        <f t="shared" si="2"/>
        <v>4350333.7867666474</v>
      </c>
    </row>
    <row r="7" spans="1:9" ht="15.75" customHeight="1" x14ac:dyDescent="0.2">
      <c r="A7" s="5">
        <f t="shared" si="3"/>
        <v>2026</v>
      </c>
      <c r="B7" s="49">
        <v>315027.80440000002</v>
      </c>
      <c r="C7" s="50">
        <v>826000</v>
      </c>
      <c r="D7" s="50">
        <v>1103000</v>
      </c>
      <c r="E7" s="50">
        <v>1542000</v>
      </c>
      <c r="F7" s="50">
        <v>1300000</v>
      </c>
      <c r="G7" s="17">
        <f t="shared" si="0"/>
        <v>4771000</v>
      </c>
      <c r="H7" s="17">
        <f t="shared" si="1"/>
        <v>359925.95050791954</v>
      </c>
      <c r="I7" s="17">
        <f t="shared" si="2"/>
        <v>4411074.0494920807</v>
      </c>
    </row>
    <row r="8" spans="1:9" ht="15.75" customHeight="1" x14ac:dyDescent="0.2">
      <c r="A8" s="5">
        <f t="shared" si="3"/>
        <v>2027</v>
      </c>
      <c r="B8" s="49">
        <v>313382.90999999997</v>
      </c>
      <c r="C8" s="50">
        <v>871000</v>
      </c>
      <c r="D8" s="50">
        <v>1136000</v>
      </c>
      <c r="E8" s="50">
        <v>1483000</v>
      </c>
      <c r="F8" s="50">
        <v>1348000</v>
      </c>
      <c r="G8" s="17">
        <f t="shared" si="0"/>
        <v>4838000</v>
      </c>
      <c r="H8" s="17">
        <f t="shared" si="1"/>
        <v>358046.623756007</v>
      </c>
      <c r="I8" s="17">
        <f t="shared" si="2"/>
        <v>4479953.3762439927</v>
      </c>
    </row>
    <row r="9" spans="1:9" ht="15.75" customHeight="1" x14ac:dyDescent="0.2">
      <c r="A9" s="5">
        <f t="shared" si="3"/>
        <v>2028</v>
      </c>
      <c r="B9" s="49">
        <v>311603.00079999998</v>
      </c>
      <c r="C9" s="50">
        <v>911000</v>
      </c>
      <c r="D9" s="50">
        <v>1188000</v>
      </c>
      <c r="E9" s="50">
        <v>1414000</v>
      </c>
      <c r="F9" s="50">
        <v>1401000</v>
      </c>
      <c r="G9" s="17">
        <f t="shared" si="0"/>
        <v>4914000</v>
      </c>
      <c r="H9" s="17">
        <f t="shared" si="1"/>
        <v>356013.03973047016</v>
      </c>
      <c r="I9" s="17">
        <f t="shared" si="2"/>
        <v>4557986.9602695294</v>
      </c>
    </row>
    <row r="10" spans="1:9" ht="15.75" customHeight="1" x14ac:dyDescent="0.2">
      <c r="A10" s="5">
        <f t="shared" si="3"/>
        <v>2029</v>
      </c>
      <c r="B10" s="49">
        <v>309722.04320000001</v>
      </c>
      <c r="C10" s="50">
        <v>940000</v>
      </c>
      <c r="D10" s="50">
        <v>1252000</v>
      </c>
      <c r="E10" s="50">
        <v>1342000</v>
      </c>
      <c r="F10" s="50">
        <v>1451000</v>
      </c>
      <c r="G10" s="17">
        <f t="shared" si="0"/>
        <v>4985000</v>
      </c>
      <c r="H10" s="17">
        <f t="shared" si="1"/>
        <v>353864.00576397788</v>
      </c>
      <c r="I10" s="17">
        <f t="shared" si="2"/>
        <v>4631135.9942360222</v>
      </c>
    </row>
    <row r="11" spans="1:9" ht="15.75" customHeight="1" x14ac:dyDescent="0.2">
      <c r="A11" s="5">
        <f t="shared" si="3"/>
        <v>2030</v>
      </c>
      <c r="B11" s="49">
        <v>307726.53999999998</v>
      </c>
      <c r="C11" s="50">
        <v>955000</v>
      </c>
      <c r="D11" s="50">
        <v>1324000</v>
      </c>
      <c r="E11" s="50">
        <v>1275000</v>
      </c>
      <c r="F11" s="50">
        <v>1493000</v>
      </c>
      <c r="G11" s="17">
        <f t="shared" si="0"/>
        <v>5047000</v>
      </c>
      <c r="H11" s="17">
        <f t="shared" si="1"/>
        <v>351584.10101915849</v>
      </c>
      <c r="I11" s="17">
        <f t="shared" si="2"/>
        <v>4695415.898980841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/VugycjgJOBfU7jAeepn2TzmJb9lJ1yCdKo7HeKnyWncaigtLN5d0fhbj9IWHm1OH7K/0ViBR18qzuRtv4yIPQ==" saltValue="ZiCUphYUKIdd9NoShfoaJQ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2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">
      <c r="B3" s="19" t="s">
        <v>93</v>
      </c>
      <c r="C3" s="55">
        <v>1.7674916162052361E-3</v>
      </c>
    </row>
    <row r="4" spans="1:8" ht="15.75" customHeight="1" x14ac:dyDescent="0.2">
      <c r="B4" s="19" t="s">
        <v>97</v>
      </c>
      <c r="C4" s="101">
        <v>0.113740677967266</v>
      </c>
    </row>
    <row r="5" spans="1:8" ht="15.75" customHeight="1" x14ac:dyDescent="0.2">
      <c r="B5" s="19" t="s">
        <v>95</v>
      </c>
      <c r="C5" s="101">
        <v>5.1637448915844868E-2</v>
      </c>
    </row>
    <row r="6" spans="1:8" ht="15.75" customHeight="1" x14ac:dyDescent="0.2">
      <c r="B6" s="19" t="s">
        <v>91</v>
      </c>
      <c r="C6" s="101">
        <v>0.216130520010517</v>
      </c>
    </row>
    <row r="7" spans="1:8" ht="15.75" customHeight="1" x14ac:dyDescent="0.2">
      <c r="B7" s="19" t="s">
        <v>96</v>
      </c>
      <c r="C7" s="101">
        <v>0.3026405963382805</v>
      </c>
    </row>
    <row r="8" spans="1:8" ht="15.75" customHeight="1" x14ac:dyDescent="0.2">
      <c r="B8" s="19" t="s">
        <v>98</v>
      </c>
      <c r="C8" s="101">
        <v>1.993589743588038E-3</v>
      </c>
    </row>
    <row r="9" spans="1:8" ht="15.75" customHeight="1" x14ac:dyDescent="0.2">
      <c r="B9" s="19" t="s">
        <v>92</v>
      </c>
      <c r="C9" s="101">
        <v>0.2357137679590697</v>
      </c>
    </row>
    <row r="10" spans="1:8" ht="15.75" customHeight="1" x14ac:dyDescent="0.2">
      <c r="B10" s="19" t="s">
        <v>94</v>
      </c>
      <c r="C10" s="101">
        <v>7.6375907449228647E-2</v>
      </c>
    </row>
    <row r="11" spans="1:8" ht="15.75" customHeight="1" x14ac:dyDescent="0.2">
      <c r="B11" s="27" t="s">
        <v>60</v>
      </c>
      <c r="C11" s="48">
        <f>SUM(C3:C10)</f>
        <v>1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83</v>
      </c>
      <c r="B13" s="29" t="s">
        <v>82</v>
      </c>
      <c r="C13" s="18" t="s">
        <v>74</v>
      </c>
      <c r="D13" s="18" t="s">
        <v>77</v>
      </c>
      <c r="E13" s="18" t="s">
        <v>75</v>
      </c>
      <c r="F13" s="18" t="s">
        <v>76</v>
      </c>
      <c r="G13" s="19"/>
    </row>
    <row r="14" spans="1:8" ht="15.75" customHeight="1" x14ac:dyDescent="0.2">
      <c r="B14" s="19" t="s">
        <v>84</v>
      </c>
      <c r="C14" s="55">
        <v>0.11213397272520199</v>
      </c>
      <c r="D14" s="55">
        <v>0.11213397272520199</v>
      </c>
      <c r="E14" s="55">
        <v>0.11213397272520199</v>
      </c>
      <c r="F14" s="55">
        <v>0.11213397272520199</v>
      </c>
    </row>
    <row r="15" spans="1:8" ht="15.75" customHeight="1" x14ac:dyDescent="0.2">
      <c r="B15" s="19" t="s">
        <v>102</v>
      </c>
      <c r="C15" s="101">
        <v>0.1867952664483741</v>
      </c>
      <c r="D15" s="101">
        <v>0.1867952664483741</v>
      </c>
      <c r="E15" s="101">
        <v>0.1867952664483741</v>
      </c>
      <c r="F15" s="101">
        <v>0.1867952664483741</v>
      </c>
    </row>
    <row r="16" spans="1:8" ht="15.75" customHeight="1" x14ac:dyDescent="0.2">
      <c r="B16" s="19" t="s">
        <v>2</v>
      </c>
      <c r="C16" s="101">
        <v>9.2257102976306214E-3</v>
      </c>
      <c r="D16" s="101">
        <v>9.2257102976306214E-3</v>
      </c>
      <c r="E16" s="101">
        <v>9.2257102976306214E-3</v>
      </c>
      <c r="F16" s="101">
        <v>9.2257102976306214E-3</v>
      </c>
    </row>
    <row r="17" spans="1:8" ht="15.75" customHeight="1" x14ac:dyDescent="0.2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">
      <c r="B18" s="19" t="s">
        <v>3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">
      <c r="B19" s="19" t="s">
        <v>101</v>
      </c>
      <c r="C19" s="101">
        <v>2.016214979696971E-2</v>
      </c>
      <c r="D19" s="101">
        <v>2.016214979696971E-2</v>
      </c>
      <c r="E19" s="101">
        <v>2.016214979696971E-2</v>
      </c>
      <c r="F19" s="101">
        <v>2.016214979696971E-2</v>
      </c>
    </row>
    <row r="20" spans="1:8" ht="15.75" customHeight="1" x14ac:dyDescent="0.2">
      <c r="B20" s="19" t="s">
        <v>79</v>
      </c>
      <c r="C20" s="101">
        <v>2.1696055557029699E-2</v>
      </c>
      <c r="D20" s="101">
        <v>2.1696055557029699E-2</v>
      </c>
      <c r="E20" s="101">
        <v>2.1696055557029699E-2</v>
      </c>
      <c r="F20" s="101">
        <v>2.1696055557029699E-2</v>
      </c>
    </row>
    <row r="21" spans="1:8" ht="15.75" customHeight="1" x14ac:dyDescent="0.2">
      <c r="B21" s="19" t="s">
        <v>88</v>
      </c>
      <c r="C21" s="101">
        <v>0.16557939975808139</v>
      </c>
      <c r="D21" s="101">
        <v>0.16557939975808139</v>
      </c>
      <c r="E21" s="101">
        <v>0.16557939975808139</v>
      </c>
      <c r="F21" s="101">
        <v>0.16557939975808139</v>
      </c>
    </row>
    <row r="22" spans="1:8" ht="15.75" customHeight="1" x14ac:dyDescent="0.2">
      <c r="B22" s="19" t="s">
        <v>99</v>
      </c>
      <c r="C22" s="101">
        <v>0.4844074454167126</v>
      </c>
      <c r="D22" s="101">
        <v>0.4844074454167126</v>
      </c>
      <c r="E22" s="101">
        <v>0.4844074454167126</v>
      </c>
      <c r="F22" s="101">
        <v>0.4844074454167126</v>
      </c>
    </row>
    <row r="23" spans="1:8" ht="15.75" customHeight="1" x14ac:dyDescent="0.2">
      <c r="B23" s="27" t="s">
        <v>60</v>
      </c>
      <c r="C23" s="48">
        <f>SUM(C14:C22)</f>
        <v>1.0000000000000002</v>
      </c>
      <c r="D23" s="48">
        <f>SUM(D14:D22)</f>
        <v>1.0000000000000002</v>
      </c>
      <c r="E23" s="48">
        <f>SUM(E14:E22)</f>
        <v>1.0000000000000002</v>
      </c>
      <c r="F23" s="48">
        <f>SUM(F14:F22)</f>
        <v>1.0000000000000002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">
      <c r="B26" s="19" t="s">
        <v>81</v>
      </c>
      <c r="C26" s="55">
        <v>1.8716897E-2</v>
      </c>
    </row>
    <row r="27" spans="1:8" ht="15.75" customHeight="1" x14ac:dyDescent="0.2">
      <c r="B27" s="19" t="s">
        <v>89</v>
      </c>
      <c r="C27" s="101">
        <v>2.6342269999999998E-3</v>
      </c>
    </row>
    <row r="28" spans="1:8" ht="15.75" customHeight="1" x14ac:dyDescent="0.2">
      <c r="B28" s="19" t="s">
        <v>103</v>
      </c>
      <c r="C28" s="101">
        <v>0.29297385599999998</v>
      </c>
    </row>
    <row r="29" spans="1:8" ht="15.75" customHeight="1" x14ac:dyDescent="0.2">
      <c r="B29" s="19" t="s">
        <v>86</v>
      </c>
      <c r="C29" s="101">
        <v>7.1156342999999997E-2</v>
      </c>
    </row>
    <row r="30" spans="1:8" ht="15.75" customHeight="1" x14ac:dyDescent="0.2">
      <c r="B30" s="19" t="s">
        <v>4</v>
      </c>
      <c r="C30" s="101">
        <v>0.18743774999999999</v>
      </c>
    </row>
    <row r="31" spans="1:8" ht="15.75" customHeight="1" x14ac:dyDescent="0.2">
      <c r="B31" s="19" t="s">
        <v>80</v>
      </c>
      <c r="C31" s="101">
        <v>5.5795655999999999E-2</v>
      </c>
    </row>
    <row r="32" spans="1:8" ht="15.75" customHeight="1" x14ac:dyDescent="0.2">
      <c r="B32" s="19" t="s">
        <v>85</v>
      </c>
      <c r="C32" s="101">
        <v>3.8825242000000003E-2</v>
      </c>
    </row>
    <row r="33" spans="2:3" ht="15.75" customHeight="1" x14ac:dyDescent="0.2">
      <c r="B33" s="19" t="s">
        <v>100</v>
      </c>
      <c r="C33" s="101">
        <v>1.5145660999999999E-2</v>
      </c>
    </row>
    <row r="34" spans="2:3" ht="15.75" customHeight="1" x14ac:dyDescent="0.2">
      <c r="B34" s="19" t="s">
        <v>87</v>
      </c>
      <c r="C34" s="101">
        <v>0.31731436899999999</v>
      </c>
    </row>
    <row r="35" spans="2:3" ht="15.75" customHeight="1" x14ac:dyDescent="0.2">
      <c r="B35" s="27" t="s">
        <v>60</v>
      </c>
      <c r="C35" s="48">
        <f>SUM(C26:C34)</f>
        <v>1.0000000010000001</v>
      </c>
    </row>
  </sheetData>
  <sheetProtection algorithmName="SHA-512" hashValue="Xy4pHwPuDJwEy7iTSb6oGVy47qJKE9LKzeyhWmFpjV+3o2JBwOIGYCzq9jiEVCzMjxQmQjpG07nQ3/PqkPGfwQ==" saltValue="uQmf1Hag6IA1rurDKVFqDQ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">
      <c r="A2" s="3" t="s">
        <v>121</v>
      </c>
      <c r="B2" s="5" t="s">
        <v>111</v>
      </c>
      <c r="C2" s="52">
        <f>IFERROR(1-_xlfn.NORM.DIST(_xlfn.NORM.INV(SUM(C4:C5), 0, 1) + 1, 0, 1, TRUE), "")</f>
        <v>0.74204106995474561</v>
      </c>
      <c r="D2" s="52">
        <f>IFERROR(1-_xlfn.NORM.DIST(_xlfn.NORM.INV(SUM(D4:D5), 0, 1) + 1, 0, 1, TRUE), "")</f>
        <v>0.74204106995474561</v>
      </c>
      <c r="E2" s="52">
        <f>IFERROR(1-_xlfn.NORM.DIST(_xlfn.NORM.INV(SUM(E4:E5), 0, 1) + 1, 0, 1, TRUE), "")</f>
        <v>0.7161228220981839</v>
      </c>
      <c r="F2" s="52">
        <f>IFERROR(1-_xlfn.NORM.DIST(_xlfn.NORM.INV(SUM(F4:F5), 0, 1) + 1, 0, 1, TRUE), "")</f>
        <v>0.63590887022530385</v>
      </c>
      <c r="G2" s="52">
        <f>IFERROR(1-_xlfn.NORM.DIST(_xlfn.NORM.INV(SUM(G4:G5), 0, 1) + 1, 0, 1, TRUE), "")</f>
        <v>0.64403128869994553</v>
      </c>
    </row>
    <row r="3" spans="1:15" ht="15.75" customHeight="1" x14ac:dyDescent="0.2">
      <c r="B3" s="5" t="s">
        <v>108</v>
      </c>
      <c r="C3" s="52">
        <f>IFERROR(_xlfn.NORM.DIST(_xlfn.NORM.INV(SUM(C4:C5), 0, 1) + 1, 0, 1, TRUE) - SUM(C4:C5), "")</f>
        <v>0.20845173305261869</v>
      </c>
      <c r="D3" s="52">
        <f>IFERROR(_xlfn.NORM.DIST(_xlfn.NORM.INV(SUM(D4:D5), 0, 1) + 1, 0, 1, TRUE) - SUM(D4:D5), "")</f>
        <v>0.20845173305261869</v>
      </c>
      <c r="E3" s="52">
        <f>IFERROR(_xlfn.NORM.DIST(_xlfn.NORM.INV(SUM(E4:E5), 0, 1) + 1, 0, 1, TRUE) - SUM(E4:E5), "")</f>
        <v>0.22582787162835566</v>
      </c>
      <c r="F3" s="52">
        <f>IFERROR(_xlfn.NORM.DIST(_xlfn.NORM.INV(SUM(F4:F5), 0, 1) + 1, 0, 1, TRUE) - SUM(F4:F5), "")</f>
        <v>0.27518867122615026</v>
      </c>
      <c r="G3" s="52">
        <f>IFERROR(_xlfn.NORM.DIST(_xlfn.NORM.INV(SUM(G4:G5), 0, 1) + 1, 0, 1, TRUE) - SUM(G4:G5), "")</f>
        <v>0.27050897233025156</v>
      </c>
    </row>
    <row r="4" spans="1:15" ht="15.75" customHeight="1" x14ac:dyDescent="0.2">
      <c r="B4" s="5" t="s">
        <v>110</v>
      </c>
      <c r="C4" s="45">
        <v>3.0190013349056199E-2</v>
      </c>
      <c r="D4" s="53">
        <v>3.0190013349056199E-2</v>
      </c>
      <c r="E4" s="53">
        <v>4.1978396475315101E-2</v>
      </c>
      <c r="F4" s="53">
        <v>4.7891374677419697E-2</v>
      </c>
      <c r="G4" s="53">
        <v>6.4321674406528501E-2</v>
      </c>
    </row>
    <row r="5" spans="1:15" ht="15.75" customHeight="1" x14ac:dyDescent="0.2">
      <c r="B5" s="5" t="s">
        <v>106</v>
      </c>
      <c r="C5" s="45">
        <v>1.93171836435795E-2</v>
      </c>
      <c r="D5" s="53">
        <v>1.93171836435795E-2</v>
      </c>
      <c r="E5" s="53">
        <v>1.6070909798145301E-2</v>
      </c>
      <c r="F5" s="53">
        <v>4.1011083871126203E-2</v>
      </c>
      <c r="G5" s="53">
        <v>2.1138064563274401E-2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122</v>
      </c>
      <c r="B8" s="5" t="s">
        <v>112</v>
      </c>
      <c r="C8" s="52">
        <f>IFERROR(1-_xlfn.NORM.DIST(_xlfn.NORM.INV(SUM(C10:C11), 0, 1) + 1, 0, 1, TRUE), "")</f>
        <v>0.53828633689990979</v>
      </c>
      <c r="D8" s="52">
        <f>IFERROR(1-_xlfn.NORM.DIST(_xlfn.NORM.INV(SUM(D10:D11), 0, 1) + 1, 0, 1, TRUE), "")</f>
        <v>0.53828633689990979</v>
      </c>
      <c r="E8" s="52">
        <f>IFERROR(1-_xlfn.NORM.DIST(_xlfn.NORM.INV(SUM(E10:E11), 0, 1) + 1, 0, 1, TRUE), "")</f>
        <v>0.8176327647509436</v>
      </c>
      <c r="F8" s="52">
        <f>IFERROR(1-_xlfn.NORM.DIST(_xlfn.NORM.INV(SUM(F10:F11), 0, 1) + 1, 0, 1, TRUE), "")</f>
        <v>0.82813916902818063</v>
      </c>
      <c r="G8" s="52">
        <f>IFERROR(1-_xlfn.NORM.DIST(_xlfn.NORM.INV(SUM(G10:G11), 0, 1) + 1, 0, 1, TRUE), "")</f>
        <v>0.86291465579214166</v>
      </c>
    </row>
    <row r="9" spans="1:15" ht="15.75" customHeight="1" x14ac:dyDescent="0.2">
      <c r="B9" s="5" t="s">
        <v>109</v>
      </c>
      <c r="C9" s="52">
        <f>IFERROR(_xlfn.NORM.DIST(_xlfn.NORM.INV(SUM(C10:C11), 0, 1) + 1, 0, 1, TRUE) - SUM(C10:C11), "")</f>
        <v>0.32519996425398856</v>
      </c>
      <c r="D9" s="52">
        <f>IFERROR(_xlfn.NORM.DIST(_xlfn.NORM.INV(SUM(D10:D11), 0, 1) + 1, 0, 1, TRUE) - SUM(D10:D11), "")</f>
        <v>0.32519996425398856</v>
      </c>
      <c r="E9" s="52">
        <f>IFERROR(_xlfn.NORM.DIST(_xlfn.NORM.INV(SUM(E10:E11), 0, 1) + 1, 0, 1, TRUE) - SUM(E10:E11), "")</f>
        <v>0.15406680927999208</v>
      </c>
      <c r="F9" s="52">
        <f>IFERROR(_xlfn.NORM.DIST(_xlfn.NORM.INV(SUM(F10:F11), 0, 1) + 1, 0, 1, TRUE) - SUM(F10:F11), "")</f>
        <v>0.14608371269128939</v>
      </c>
      <c r="G9" s="52">
        <f>IFERROR(_xlfn.NORM.DIST(_xlfn.NORM.INV(SUM(G10:G11), 0, 1) + 1, 0, 1, TRUE) - SUM(G10:G11), "")</f>
        <v>0.11893344207984734</v>
      </c>
    </row>
    <row r="10" spans="1:15" ht="15.75" customHeight="1" x14ac:dyDescent="0.2">
      <c r="B10" s="5" t="s">
        <v>107</v>
      </c>
      <c r="C10" s="45">
        <v>8.7693624198436695E-2</v>
      </c>
      <c r="D10" s="53">
        <v>8.7693624198436695E-2</v>
      </c>
      <c r="E10" s="53">
        <v>1.8754139542579699E-2</v>
      </c>
      <c r="F10" s="53">
        <v>1.7150809988379499E-2</v>
      </c>
      <c r="G10" s="53">
        <v>1.22688328847289E-2</v>
      </c>
    </row>
    <row r="11" spans="1:15" ht="15.75" customHeight="1" x14ac:dyDescent="0.2">
      <c r="B11" s="5" t="s">
        <v>119</v>
      </c>
      <c r="C11" s="45">
        <v>4.8820074647665003E-2</v>
      </c>
      <c r="D11" s="53">
        <v>4.8820074647665003E-2</v>
      </c>
      <c r="E11" s="53">
        <v>9.5462864264846004E-3</v>
      </c>
      <c r="F11" s="53">
        <v>8.6263082921504992E-3</v>
      </c>
      <c r="G11" s="53">
        <v>5.8830692432820996E-3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">
      <c r="B14" s="11" t="s">
        <v>117</v>
      </c>
      <c r="C14" s="51">
        <v>0.43544833799999999</v>
      </c>
      <c r="D14" s="54">
        <v>0.414763389195</v>
      </c>
      <c r="E14" s="54">
        <v>0.414763389195</v>
      </c>
      <c r="F14" s="54">
        <v>0.239306340073</v>
      </c>
      <c r="G14" s="54">
        <v>0.239306340073</v>
      </c>
      <c r="H14" s="45">
        <v>0.30399999999999999</v>
      </c>
      <c r="I14" s="55">
        <v>0.30399999999999999</v>
      </c>
      <c r="J14" s="55">
        <v>0.30399999999999999</v>
      </c>
      <c r="K14" s="55">
        <v>0.30399999999999999</v>
      </c>
      <c r="L14" s="45">
        <v>0.307</v>
      </c>
      <c r="M14" s="55">
        <v>0.307</v>
      </c>
      <c r="N14" s="55">
        <v>0.307</v>
      </c>
      <c r="O14" s="55">
        <v>0.307</v>
      </c>
    </row>
    <row r="15" spans="1:15" ht="15.75" customHeight="1" x14ac:dyDescent="0.2">
      <c r="B15" s="11" t="s">
        <v>118</v>
      </c>
      <c r="C15" s="52">
        <f t="shared" ref="C15:O15" si="0">iron_deficiency_anaemia*C14</f>
        <v>0.26805285245770205</v>
      </c>
      <c r="D15" s="52">
        <f t="shared" si="0"/>
        <v>0.25531963235726896</v>
      </c>
      <c r="E15" s="52">
        <f t="shared" si="0"/>
        <v>0.25531963235726896</v>
      </c>
      <c r="F15" s="52">
        <f t="shared" si="0"/>
        <v>0.14731195751579729</v>
      </c>
      <c r="G15" s="52">
        <f t="shared" si="0"/>
        <v>0.14731195751579729</v>
      </c>
      <c r="H15" s="52">
        <f t="shared" si="0"/>
        <v>0.18713601600000002</v>
      </c>
      <c r="I15" s="52">
        <f t="shared" si="0"/>
        <v>0.18713601600000002</v>
      </c>
      <c r="J15" s="52">
        <f t="shared" si="0"/>
        <v>0.18713601600000002</v>
      </c>
      <c r="K15" s="52">
        <f t="shared" si="0"/>
        <v>0.18713601600000002</v>
      </c>
      <c r="L15" s="52">
        <f t="shared" si="0"/>
        <v>0.18898275300000003</v>
      </c>
      <c r="M15" s="52">
        <f t="shared" si="0"/>
        <v>0.18898275300000003</v>
      </c>
      <c r="N15" s="52">
        <f t="shared" si="0"/>
        <v>0.18898275300000003</v>
      </c>
      <c r="O15" s="52">
        <f t="shared" si="0"/>
        <v>0.18898275300000003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54qmKOKp7sX9ih4Y67lq7G4ZwIGGvzUDZQuPd9omrxueWUAr/heXrUrWDi5KcC5B5TTibwMTowDiAQKGUzuIjw==" saltValue="IzVKSDQNagYQxxuh2JlCN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">
      <c r="A2" s="3" t="s">
        <v>123</v>
      </c>
      <c r="B2" s="3" t="s">
        <v>124</v>
      </c>
      <c r="C2" s="45">
        <v>0.69556260108947798</v>
      </c>
      <c r="D2" s="53">
        <v>0.35208210000000001</v>
      </c>
      <c r="E2" s="53">
        <v>0</v>
      </c>
      <c r="F2" s="53">
        <v>0</v>
      </c>
      <c r="G2" s="53">
        <v>0</v>
      </c>
    </row>
    <row r="3" spans="1:7" x14ac:dyDescent="0.2">
      <c r="B3" s="3" t="s">
        <v>127</v>
      </c>
      <c r="C3" s="53">
        <v>0.24088123440742501</v>
      </c>
      <c r="D3" s="53">
        <v>0.36556179999999999</v>
      </c>
      <c r="E3" s="53">
        <v>0</v>
      </c>
      <c r="F3" s="53">
        <v>0</v>
      </c>
      <c r="G3" s="53">
        <v>0</v>
      </c>
    </row>
    <row r="4" spans="1:7" x14ac:dyDescent="0.2">
      <c r="B4" s="3" t="s">
        <v>126</v>
      </c>
      <c r="C4" s="53">
        <v>2.9348679999999999E-2</v>
      </c>
      <c r="D4" s="53">
        <v>0.1994631</v>
      </c>
      <c r="E4" s="53">
        <v>0.81741821765899703</v>
      </c>
      <c r="F4" s="53">
        <v>0.40598389506339999</v>
      </c>
      <c r="G4" s="53">
        <v>0</v>
      </c>
    </row>
    <row r="5" spans="1:7" x14ac:dyDescent="0.2">
      <c r="B5" s="3" t="s">
        <v>125</v>
      </c>
      <c r="C5" s="52">
        <v>3.2593633979558903E-2</v>
      </c>
      <c r="D5" s="52">
        <v>8.7540797889232594E-2</v>
      </c>
      <c r="E5" s="52">
        <f>1-SUM(E2:E4)</f>
        <v>0.18258178234100297</v>
      </c>
      <c r="F5" s="52">
        <f>1-SUM(F2:F4)</f>
        <v>0.59401610493659995</v>
      </c>
      <c r="G5" s="52">
        <f>1-SUM(G2:G4)</f>
        <v>1</v>
      </c>
    </row>
  </sheetData>
  <sheetProtection algorithmName="SHA-512" hashValue="XDc/F4sAsXjBizA/f+jLMn6Z5XvwdAoV3Pt5A3xnk0+5gO3EJpu8OgCeKPiHI5736k4WR5YqsUI44/yjNHXm8A==" saltValue="CbrbzByE2jQn3m2VcQEg+A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wlq+W/Y+jVySEWLGmyq7jdwBKWUkitUsYEcXCdyufGFIBKqePJ17ZosV8zAve5+mB0himfcxNGYYlM5M7NX69A==" saltValue="8ejmetEh80EzYKp8l2jn8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147</v>
      </c>
      <c r="B1" s="4" t="s">
        <v>145</v>
      </c>
    </row>
    <row r="2" spans="1:2" x14ac:dyDescent="0.2">
      <c r="A2" s="8" t="s">
        <v>144</v>
      </c>
      <c r="B2" s="41">
        <v>10</v>
      </c>
    </row>
    <row r="3" spans="1:2" x14ac:dyDescent="0.2">
      <c r="A3" s="8" t="s">
        <v>143</v>
      </c>
      <c r="B3" s="41">
        <v>10</v>
      </c>
    </row>
    <row r="4" spans="1:2" x14ac:dyDescent="0.2">
      <c r="A4" s="8" t="s">
        <v>142</v>
      </c>
      <c r="B4" s="41">
        <v>10</v>
      </c>
    </row>
    <row r="5" spans="1:2" x14ac:dyDescent="0.2">
      <c r="A5" s="8" t="s">
        <v>146</v>
      </c>
      <c r="B5" s="41">
        <v>10</v>
      </c>
    </row>
    <row r="6" spans="1:2" x14ac:dyDescent="0.2">
      <c r="A6" s="8" t="s">
        <v>140</v>
      </c>
      <c r="B6" s="41">
        <v>10</v>
      </c>
    </row>
    <row r="7" spans="1:2" x14ac:dyDescent="0.2">
      <c r="A7" s="8" t="s">
        <v>141</v>
      </c>
      <c r="B7" s="41">
        <v>10</v>
      </c>
    </row>
  </sheetData>
  <sheetProtection algorithmName="SHA-512" hashValue="alcO6GJnAJmo+6UrcDQEzZYCuXA23nO2mGA15U2Tm/sLmfcnWYuNVUxO1WpvW/AXQbAOrMBXTzzjm0Mfe8qmqw==" saltValue="VKfoKWahSmV3wD4mzV/uIQ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x14ac:dyDescent="0.2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x14ac:dyDescent="0.2">
      <c r="B3" s="32" t="s">
        <v>78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74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77</v>
      </c>
      <c r="C5" s="47"/>
      <c r="D5" s="47"/>
      <c r="E5" s="38" t="str">
        <f>IF(E$7="","",E$7)</f>
        <v/>
      </c>
    </row>
    <row r="6" spans="1:5" x14ac:dyDescent="0.2">
      <c r="B6" s="32" t="s">
        <v>75</v>
      </c>
      <c r="C6" s="47"/>
      <c r="D6" s="47"/>
      <c r="E6" s="38" t="str">
        <f>IF(E$7="","",E$7)</f>
        <v/>
      </c>
    </row>
    <row r="7" spans="1:5" x14ac:dyDescent="0.2">
      <c r="B7" s="32" t="s">
        <v>148</v>
      </c>
      <c r="C7" s="31"/>
      <c r="D7" s="30"/>
      <c r="E7" s="47"/>
    </row>
    <row r="9" spans="1:5" x14ac:dyDescent="0.2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x14ac:dyDescent="0.2">
      <c r="B10" s="32" t="s">
        <v>78</v>
      </c>
      <c r="C10" s="47"/>
      <c r="D10" s="47"/>
      <c r="E10" s="38" t="str">
        <f>IF(E$7="","",E$7)</f>
        <v/>
      </c>
    </row>
    <row r="11" spans="1:5" x14ac:dyDescent="0.2">
      <c r="B11" s="32" t="s">
        <v>74</v>
      </c>
      <c r="C11" s="47"/>
      <c r="D11" s="47"/>
      <c r="E11" s="38" t="str">
        <f>IF(E$7="","",E$7)</f>
        <v/>
      </c>
    </row>
    <row r="12" spans="1:5" x14ac:dyDescent="0.2">
      <c r="B12" s="32" t="s">
        <v>77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75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148</v>
      </c>
      <c r="C14" s="31"/>
      <c r="D14" s="30"/>
      <c r="E14" s="47"/>
    </row>
    <row r="16" spans="1:5" x14ac:dyDescent="0.2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78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74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77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75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148</v>
      </c>
      <c r="C21" s="31"/>
      <c r="D21" s="30"/>
      <c r="E21" s="47"/>
    </row>
  </sheetData>
  <sheetProtection algorithmName="SHA-512" hashValue="F69YNE7wkpOVKrnp1POwED5ES7TGrycgIy8321x+Zcf5wisDVJ+luO9cdB9qatjH7O7FMMLviOivpB+M1IFx7A==" saltValue="Rpe9SA+V7rQ+Yg4xhxTI1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159</v>
      </c>
      <c r="C1" s="40" t="s">
        <v>161</v>
      </c>
      <c r="D1" s="40" t="s">
        <v>157</v>
      </c>
    </row>
    <row r="2" spans="1:4" x14ac:dyDescent="0.2">
      <c r="A2" s="40" t="s">
        <v>163</v>
      </c>
      <c r="B2" s="32" t="s">
        <v>164</v>
      </c>
      <c r="C2" s="32" t="s">
        <v>162</v>
      </c>
      <c r="D2" s="47"/>
    </row>
    <row r="3" spans="1:4" x14ac:dyDescent="0.2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tHImkcjH2VhWv33sh7pC4OrkVCTZ7UgCblUpiLYhSAwmI4ee8SAZMfEJSuDLsHhpJXIb536sfeioc+p9UsC1OA==" saltValue="Uma5F7qYZc+BTaRz2Jhhc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">
      <c r="A2" s="5" t="s">
        <v>165</v>
      </c>
      <c r="B2" s="45">
        <v>0.73862471376119598</v>
      </c>
      <c r="C2" s="98">
        <v>0.95</v>
      </c>
      <c r="D2" s="56">
        <v>80.804937896193479</v>
      </c>
      <c r="E2" s="56" t="s">
        <v>183</v>
      </c>
      <c r="F2" s="98">
        <v>1</v>
      </c>
      <c r="G2" s="98">
        <v>1</v>
      </c>
    </row>
    <row r="3" spans="1:7" ht="15.75" customHeight="1" x14ac:dyDescent="0.2">
      <c r="A3" s="5" t="s">
        <v>166</v>
      </c>
      <c r="B3" s="45">
        <v>0</v>
      </c>
      <c r="C3" s="98">
        <v>0.95</v>
      </c>
      <c r="D3" s="56">
        <v>40.390616174846663</v>
      </c>
      <c r="E3" s="56" t="s">
        <v>183</v>
      </c>
      <c r="F3" s="98">
        <v>1</v>
      </c>
      <c r="G3" s="98">
        <v>1</v>
      </c>
    </row>
    <row r="4" spans="1:7" ht="15.75" customHeight="1" x14ac:dyDescent="0.2">
      <c r="A4" s="5" t="s">
        <v>167</v>
      </c>
      <c r="B4" s="98">
        <v>0</v>
      </c>
      <c r="C4" s="98">
        <v>0.95</v>
      </c>
      <c r="D4" s="56">
        <v>771.46935681029902</v>
      </c>
      <c r="E4" s="56" t="s">
        <v>183</v>
      </c>
      <c r="F4" s="98">
        <v>1</v>
      </c>
      <c r="G4" s="98">
        <v>1</v>
      </c>
    </row>
    <row r="5" spans="1:7" ht="15.75" customHeight="1" x14ac:dyDescent="0.2">
      <c r="A5" s="5" t="s">
        <v>169</v>
      </c>
      <c r="B5" s="98">
        <v>0</v>
      </c>
      <c r="C5" s="98">
        <v>0.95</v>
      </c>
      <c r="D5" s="56">
        <v>5.3213875403317896</v>
      </c>
      <c r="E5" s="56" t="s">
        <v>183</v>
      </c>
      <c r="F5" s="98">
        <v>1</v>
      </c>
      <c r="G5" s="98">
        <v>1</v>
      </c>
    </row>
    <row r="6" spans="1:7" ht="15.75" customHeight="1" x14ac:dyDescent="0.2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">
      <c r="A10" s="11" t="s">
        <v>174</v>
      </c>
      <c r="B10" s="45">
        <v>0.22888279917745999</v>
      </c>
      <c r="C10" s="98">
        <v>0.95</v>
      </c>
      <c r="D10" s="56">
        <v>13.522915618642561</v>
      </c>
      <c r="E10" s="56" t="s">
        <v>183</v>
      </c>
      <c r="F10" s="98">
        <v>1</v>
      </c>
      <c r="G10" s="98">
        <v>1</v>
      </c>
    </row>
    <row r="11" spans="1:7" ht="15.75" customHeight="1" x14ac:dyDescent="0.2">
      <c r="A11" s="11" t="s">
        <v>175</v>
      </c>
      <c r="B11" s="98">
        <v>0.22888279917745999</v>
      </c>
      <c r="C11" s="98">
        <v>0.95</v>
      </c>
      <c r="D11" s="56">
        <v>13.522915618642561</v>
      </c>
      <c r="E11" s="56" t="s">
        <v>183</v>
      </c>
      <c r="F11" s="98">
        <v>1</v>
      </c>
      <c r="G11" s="98">
        <v>1</v>
      </c>
    </row>
    <row r="12" spans="1:7" ht="15.75" customHeight="1" x14ac:dyDescent="0.2">
      <c r="A12" s="11" t="s">
        <v>176</v>
      </c>
      <c r="B12" s="98">
        <v>0.22888279917745999</v>
      </c>
      <c r="C12" s="98">
        <v>0.95</v>
      </c>
      <c r="D12" s="56">
        <v>13.522915618642561</v>
      </c>
      <c r="E12" s="56" t="s">
        <v>183</v>
      </c>
      <c r="F12" s="98">
        <v>1</v>
      </c>
      <c r="G12" s="98">
        <v>1</v>
      </c>
    </row>
    <row r="13" spans="1:7" ht="15.75" customHeight="1" x14ac:dyDescent="0.2">
      <c r="A13" s="11" t="s">
        <v>177</v>
      </c>
      <c r="B13" s="98">
        <v>0.22888279917745999</v>
      </c>
      <c r="C13" s="98">
        <v>0.95</v>
      </c>
      <c r="D13" s="56">
        <v>13.522915618642561</v>
      </c>
      <c r="E13" s="56" t="s">
        <v>183</v>
      </c>
      <c r="F13" s="98">
        <v>1</v>
      </c>
      <c r="G13" s="98">
        <v>1</v>
      </c>
    </row>
    <row r="14" spans="1:7" ht="15.75" customHeight="1" x14ac:dyDescent="0.2">
      <c r="A14" s="5" t="s">
        <v>178</v>
      </c>
      <c r="B14" s="45">
        <v>0.22888279917745999</v>
      </c>
      <c r="C14" s="98">
        <v>0.95</v>
      </c>
      <c r="D14" s="56">
        <v>13.522915618642561</v>
      </c>
      <c r="E14" s="56" t="s">
        <v>183</v>
      </c>
      <c r="F14" s="98">
        <v>1</v>
      </c>
      <c r="G14" s="98">
        <v>1</v>
      </c>
    </row>
    <row r="15" spans="1:7" ht="15.75" customHeight="1" x14ac:dyDescent="0.2">
      <c r="A15" s="5" t="s">
        <v>179</v>
      </c>
      <c r="B15" s="98">
        <v>0.22888279917745999</v>
      </c>
      <c r="C15" s="98">
        <v>0.95</v>
      </c>
      <c r="D15" s="56">
        <v>13.522915618642561</v>
      </c>
      <c r="E15" s="56" t="s">
        <v>183</v>
      </c>
      <c r="F15" s="98">
        <v>1</v>
      </c>
      <c r="G15" s="98">
        <v>1</v>
      </c>
    </row>
    <row r="16" spans="1:7" ht="15.75" customHeight="1" x14ac:dyDescent="0.2">
      <c r="A16" s="5" t="s">
        <v>180</v>
      </c>
      <c r="B16" s="45">
        <v>0</v>
      </c>
      <c r="C16" s="98">
        <v>0.95</v>
      </c>
      <c r="D16" s="56">
        <v>1.2296814185379119</v>
      </c>
      <c r="E16" s="56" t="s">
        <v>183</v>
      </c>
      <c r="F16" s="98">
        <v>1</v>
      </c>
      <c r="G16" s="98">
        <v>1</v>
      </c>
    </row>
    <row r="17" spans="1:7" ht="15.75" customHeight="1" x14ac:dyDescent="0.2">
      <c r="A17" s="5" t="s">
        <v>181</v>
      </c>
      <c r="B17" s="98">
        <v>0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5" customHeight="1" x14ac:dyDescent="0.2">
      <c r="A18" s="5" t="s">
        <v>151</v>
      </c>
      <c r="B18" s="98">
        <v>0</v>
      </c>
      <c r="C18" s="98">
        <v>0.95</v>
      </c>
      <c r="D18" s="56">
        <v>17.67766297845575</v>
      </c>
      <c r="E18" s="56" t="s">
        <v>183</v>
      </c>
      <c r="F18" s="98">
        <v>1</v>
      </c>
      <c r="G18" s="98">
        <v>1</v>
      </c>
    </row>
    <row r="19" spans="1:7" ht="15.75" customHeight="1" x14ac:dyDescent="0.2">
      <c r="A19" s="5" t="s">
        <v>152</v>
      </c>
      <c r="B19" s="98">
        <v>0</v>
      </c>
      <c r="C19" s="98">
        <v>0.95</v>
      </c>
      <c r="D19" s="56">
        <v>17.67766297845575</v>
      </c>
      <c r="E19" s="56" t="s">
        <v>183</v>
      </c>
      <c r="F19" s="98">
        <v>1</v>
      </c>
      <c r="G19" s="98">
        <v>1</v>
      </c>
    </row>
    <row r="20" spans="1:7" ht="15.75" customHeight="1" x14ac:dyDescent="0.2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">
      <c r="A21" s="5" t="s">
        <v>182</v>
      </c>
      <c r="B21" s="45">
        <v>0.99338680000000001</v>
      </c>
      <c r="C21" s="98">
        <v>0.95</v>
      </c>
      <c r="D21" s="56">
        <v>60.730148203505237</v>
      </c>
      <c r="E21" s="56" t="s">
        <v>183</v>
      </c>
      <c r="F21" s="98">
        <v>1</v>
      </c>
      <c r="G21" s="98">
        <v>1</v>
      </c>
    </row>
    <row r="22" spans="1:7" ht="15.75" customHeight="1" x14ac:dyDescent="0.2">
      <c r="A22" s="5" t="s">
        <v>184</v>
      </c>
      <c r="B22" s="98">
        <v>0</v>
      </c>
      <c r="C22" s="98">
        <v>0.95</v>
      </c>
      <c r="D22" s="56">
        <v>23.604022972406518</v>
      </c>
      <c r="E22" s="56" t="s">
        <v>183</v>
      </c>
      <c r="F22" s="98">
        <v>1</v>
      </c>
      <c r="G22" s="98">
        <v>1</v>
      </c>
    </row>
    <row r="23" spans="1:7" ht="15.75" customHeight="1" x14ac:dyDescent="0.2">
      <c r="A23" s="5" t="s">
        <v>185</v>
      </c>
      <c r="B23" s="98">
        <v>0</v>
      </c>
      <c r="C23" s="98">
        <v>0.95</v>
      </c>
      <c r="D23" s="56">
        <v>4.5985477715053404</v>
      </c>
      <c r="E23" s="56" t="s">
        <v>183</v>
      </c>
      <c r="F23" s="98">
        <v>1</v>
      </c>
      <c r="G23" s="98">
        <v>1</v>
      </c>
    </row>
    <row r="24" spans="1:7" ht="15.75" customHeight="1" x14ac:dyDescent="0.2">
      <c r="A24" s="5" t="s">
        <v>188</v>
      </c>
      <c r="B24" s="45">
        <v>0.25110732191719998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">
      <c r="A27" s="5" t="s">
        <v>191</v>
      </c>
      <c r="B27" s="45">
        <v>0.17851428668772101</v>
      </c>
      <c r="C27" s="98">
        <v>0.95</v>
      </c>
      <c r="D27" s="56">
        <v>19.08390202702364</v>
      </c>
      <c r="E27" s="56" t="s">
        <v>183</v>
      </c>
      <c r="F27" s="98">
        <v>1</v>
      </c>
      <c r="G27" s="98">
        <v>1</v>
      </c>
    </row>
    <row r="28" spans="1:7" ht="15.75" customHeight="1" x14ac:dyDescent="0.2">
      <c r="A28" s="5" t="s">
        <v>192</v>
      </c>
      <c r="B28" s="45">
        <v>0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">
      <c r="A29" s="5" t="s">
        <v>193</v>
      </c>
      <c r="B29" s="45">
        <v>0.97873701678292901</v>
      </c>
      <c r="C29" s="98">
        <v>0.95</v>
      </c>
      <c r="D29" s="56">
        <v>165.62974913682319</v>
      </c>
      <c r="E29" s="56" t="s">
        <v>183</v>
      </c>
      <c r="F29" s="98">
        <v>1</v>
      </c>
      <c r="G29" s="98">
        <v>1</v>
      </c>
    </row>
    <row r="30" spans="1:7" ht="15.75" customHeight="1" x14ac:dyDescent="0.2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">
      <c r="A31" s="5" t="s">
        <v>164</v>
      </c>
      <c r="B31" s="45">
        <v>0</v>
      </c>
      <c r="C31" s="98">
        <v>0.95</v>
      </c>
      <c r="D31" s="56">
        <v>1.20038967895152</v>
      </c>
      <c r="E31" s="56" t="s">
        <v>183</v>
      </c>
      <c r="F31" s="98">
        <v>1</v>
      </c>
      <c r="G31" s="98">
        <v>1</v>
      </c>
    </row>
    <row r="32" spans="1:7" ht="15.75" customHeight="1" x14ac:dyDescent="0.2">
      <c r="A32" s="5" t="s">
        <v>196</v>
      </c>
      <c r="B32" s="45">
        <v>0.25818420409999998</v>
      </c>
      <c r="C32" s="98">
        <v>0.95</v>
      </c>
      <c r="D32" s="56">
        <v>2.6928411357214559</v>
      </c>
      <c r="E32" s="56" t="s">
        <v>183</v>
      </c>
      <c r="F32" s="98">
        <v>1</v>
      </c>
      <c r="G32" s="98">
        <v>1</v>
      </c>
    </row>
    <row r="33" spans="1:7" ht="15.75" customHeight="1" x14ac:dyDescent="0.2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">
      <c r="A34" s="5" t="s">
        <v>198</v>
      </c>
      <c r="B34" s="45">
        <v>0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">
      <c r="A36" s="5" t="s">
        <v>200</v>
      </c>
      <c r="B36" s="45">
        <v>0.66691672801971391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">
      <c r="A37" s="5" t="s">
        <v>201</v>
      </c>
      <c r="B37" s="45">
        <v>0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">
      <c r="A38" s="5" t="s">
        <v>202</v>
      </c>
      <c r="B38" s="45">
        <v>0</v>
      </c>
      <c r="C38" s="98">
        <v>0.95</v>
      </c>
      <c r="D38" s="56">
        <v>2.0061220772807462</v>
      </c>
      <c r="E38" s="56" t="s">
        <v>183</v>
      </c>
      <c r="F38" s="98">
        <v>1</v>
      </c>
      <c r="G38" s="98">
        <v>1</v>
      </c>
    </row>
    <row r="39" spans="1:7" ht="15.75" customHeight="1" x14ac:dyDescent="0.2">
      <c r="A39" s="5" t="s">
        <v>203</v>
      </c>
      <c r="B39" s="45">
        <v>0.80828781962054908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RtUR8hKTFg1QDrxYmsDsuL8hiYFj/4yiKHrqIAEBxEaMbhfZRdrM70QkYJXooP+RpC/B79XdlDhzYr8JTClEOw==" saltValue="ASVr+NhZmH5fpnvdZuM0V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163</v>
      </c>
      <c r="B1" s="4" t="s">
        <v>205</v>
      </c>
      <c r="C1" s="4" t="s">
        <v>206</v>
      </c>
    </row>
    <row r="2" spans="1:3" x14ac:dyDescent="0.2">
      <c r="A2" s="57" t="s">
        <v>178</v>
      </c>
      <c r="B2" s="47" t="s">
        <v>191</v>
      </c>
      <c r="C2" s="47"/>
    </row>
    <row r="3" spans="1:3" x14ac:dyDescent="0.2">
      <c r="A3" s="57" t="s">
        <v>179</v>
      </c>
      <c r="B3" s="47" t="s">
        <v>191</v>
      </c>
      <c r="C3" s="47"/>
    </row>
    <row r="4" spans="1:3" x14ac:dyDescent="0.2">
      <c r="A4" s="57" t="s">
        <v>193</v>
      </c>
      <c r="B4" s="47" t="s">
        <v>184</v>
      </c>
      <c r="C4" s="47"/>
    </row>
    <row r="5" spans="1:3" x14ac:dyDescent="0.2">
      <c r="A5" s="57" t="s">
        <v>190</v>
      </c>
      <c r="B5" s="47" t="s">
        <v>184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FYHQFnwLqDzpvsi1zkDAHuWvWIx7aQHKWYyUbG+Rx/3XXsnp8VxGKR9vEDZ6xES3689m+K2/kQ1TKNGoVqTe/Q==" saltValue="zXevdO+e8/8AIM2p+DNQy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163</v>
      </c>
    </row>
    <row r="2" spans="1:1" x14ac:dyDescent="0.2">
      <c r="A2" s="33" t="s">
        <v>170</v>
      </c>
    </row>
    <row r="3" spans="1:1" x14ac:dyDescent="0.2">
      <c r="A3" s="33" t="s">
        <v>180</v>
      </c>
    </row>
    <row r="4" spans="1:1" x14ac:dyDescent="0.2">
      <c r="A4" s="33" t="s">
        <v>185</v>
      </c>
    </row>
    <row r="5" spans="1:1" x14ac:dyDescent="0.2">
      <c r="A5" s="33" t="s">
        <v>197</v>
      </c>
    </row>
    <row r="6" spans="1:1" x14ac:dyDescent="0.2">
      <c r="A6" s="33" t="s">
        <v>198</v>
      </c>
    </row>
    <row r="7" spans="1:1" x14ac:dyDescent="0.2">
      <c r="A7" s="33" t="s">
        <v>199</v>
      </c>
    </row>
    <row r="8" spans="1:1" x14ac:dyDescent="0.2">
      <c r="A8" s="33" t="s">
        <v>200</v>
      </c>
    </row>
    <row r="9" spans="1:1" x14ac:dyDescent="0.2">
      <c r="A9" s="33" t="s">
        <v>201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N8I7GqcLDxmCPCzZy5VXoxg3qVD7srxV8Rk95u71I+HNPrprds3kSbFX4YwEknr8dQ75P3gCbmOz+6J+9UgtBw==" saltValue="lgOk3TskRo/seC8iWCxHR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">
      <c r="A2" s="3" t="s">
        <v>84</v>
      </c>
      <c r="B2" s="21">
        <f>'Entradas de población-año base'!C51</f>
        <v>2.8</v>
      </c>
      <c r="C2" s="21">
        <f>'Entradas de población-año base'!C52</f>
        <v>2.8</v>
      </c>
      <c r="D2" s="21">
        <f>'Entradas de población-año base'!C53</f>
        <v>2.8</v>
      </c>
      <c r="E2" s="21">
        <f>'Entradas de población-año base'!C54</f>
        <v>2.8</v>
      </c>
      <c r="F2" s="21">
        <f>'Entradas de población-año base'!C55</f>
        <v>2.8</v>
      </c>
    </row>
    <row r="3" spans="1:6" ht="15.75" customHeight="1" x14ac:dyDescent="0.2">
      <c r="A3" s="3" t="s">
        <v>6</v>
      </c>
      <c r="B3" s="21">
        <f>frac_mam_1month * 2.6</f>
        <v>0.22800342291593542</v>
      </c>
      <c r="C3" s="21">
        <f>frac_mam_1_5months * 2.6</f>
        <v>0.22800342291593542</v>
      </c>
      <c r="D3" s="21">
        <f>frac_mam_6_11months * 2.6</f>
        <v>4.8760762810707223E-2</v>
      </c>
      <c r="E3" s="21">
        <f>frac_mam_12_23months * 2.6</f>
        <v>4.4592105969786702E-2</v>
      </c>
      <c r="F3" s="21">
        <f>frac_mam_24_59months * 2.6</f>
        <v>3.189896550029514E-2</v>
      </c>
    </row>
    <row r="4" spans="1:6" ht="15.75" customHeight="1" x14ac:dyDescent="0.2">
      <c r="A4" s="3" t="s">
        <v>207</v>
      </c>
      <c r="B4" s="21">
        <f>frac_sam_1month * 2.6</f>
        <v>0.126932194083929</v>
      </c>
      <c r="C4" s="21">
        <f>frac_sam_1_5months * 2.6</f>
        <v>0.126932194083929</v>
      </c>
      <c r="D4" s="21">
        <f>frac_sam_6_11months * 2.6</f>
        <v>2.4820344708859961E-2</v>
      </c>
      <c r="E4" s="21">
        <f>frac_sam_12_23months * 2.6</f>
        <v>2.2428401559591297E-2</v>
      </c>
      <c r="F4" s="21">
        <f>frac_sam_24_59months * 2.6</f>
        <v>1.5295980032533459E-2</v>
      </c>
    </row>
  </sheetData>
  <sheetProtection algorithmName="SHA-512" hashValue="soGHjx9T7LBJbFjCPWZN9ZA4U7sQqmoeXmy9MEjcgs966LPb1FNgmVv0h4npLeSnf0EKhjv2442l4f6jYRKJmA==" saltValue="6YDurfK9pY793VIljmPcd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">
      <c r="A2" s="4" t="s">
        <v>83</v>
      </c>
      <c r="B2" s="5" t="s">
        <v>167</v>
      </c>
      <c r="C2" s="60">
        <v>0</v>
      </c>
      <c r="D2" s="60">
        <f>food_insecure</f>
        <v>0</v>
      </c>
      <c r="E2" s="60">
        <f>food_insecure</f>
        <v>0</v>
      </c>
      <c r="F2" s="60">
        <f>food_insecure</f>
        <v>0</v>
      </c>
      <c r="G2" s="60">
        <f>food_insecure</f>
        <v>0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184</v>
      </c>
      <c r="C5" s="60">
        <v>0</v>
      </c>
      <c r="D5" s="60">
        <v>0</v>
      </c>
      <c r="E5" s="60">
        <f>food_insecure</f>
        <v>0</v>
      </c>
      <c r="F5" s="60">
        <f>food_insecure</f>
        <v>0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192</v>
      </c>
      <c r="C7" s="60">
        <f>diarrhoea_1mo*frac_diarrhea_severe</f>
        <v>4.6000000000000006E-2</v>
      </c>
      <c r="D7" s="60">
        <f>diarrhoea_1_5mo*frac_diarrhea_severe</f>
        <v>4.6000000000000006E-2</v>
      </c>
      <c r="E7" s="60">
        <f>diarrhoea_6_11mo*frac_diarrhea_severe</f>
        <v>4.6000000000000006E-2</v>
      </c>
      <c r="F7" s="60">
        <f>diarrhoea_12_23mo*frac_diarrhea_severe</f>
        <v>4.6000000000000006E-2</v>
      </c>
      <c r="G7" s="60">
        <f>diarrhoea_24_59mo*frac_diarrhea_severe</f>
        <v>4.6000000000000006E-2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193</v>
      </c>
      <c r="C8" s="60">
        <v>0</v>
      </c>
      <c r="D8" s="60">
        <v>0</v>
      </c>
      <c r="E8" s="60">
        <f>food_insecure</f>
        <v>0</v>
      </c>
      <c r="F8" s="60">
        <f>food_insecure</f>
        <v>0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204</v>
      </c>
      <c r="C9" s="60">
        <v>0</v>
      </c>
      <c r="D9" s="60">
        <v>0</v>
      </c>
      <c r="E9" s="60">
        <f>food_insecure</f>
        <v>0</v>
      </c>
      <c r="F9" s="60">
        <f>food_insecure</f>
        <v>0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164</v>
      </c>
      <c r="C10" s="60">
        <v>0</v>
      </c>
      <c r="D10" s="60">
        <f>IF(ISBLANK(comm_deliv), frac_children_health_facility,1)</f>
        <v>0.81200000000000006</v>
      </c>
      <c r="E10" s="60">
        <f>IF(ISBLANK(comm_deliv), frac_children_health_facility,1)</f>
        <v>0.81200000000000006</v>
      </c>
      <c r="F10" s="60">
        <f>IF(ISBLANK(comm_deliv), frac_children_health_facility,1)</f>
        <v>0.81200000000000006</v>
      </c>
      <c r="G10" s="60">
        <f>IF(ISBLANK(comm_deliv), frac_children_health_facility,1)</f>
        <v>0.81200000000000006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202</v>
      </c>
      <c r="C12" s="60">
        <f>diarrhoea_1mo*frac_diarrhea_severe</f>
        <v>4.6000000000000006E-2</v>
      </c>
      <c r="D12" s="60">
        <f>diarrhoea_1_5mo*frac_diarrhea_severe</f>
        <v>4.6000000000000006E-2</v>
      </c>
      <c r="E12" s="60">
        <f>diarrhoea_6_11mo*frac_diarrhea_severe</f>
        <v>4.6000000000000006E-2</v>
      </c>
      <c r="F12" s="60">
        <f>diarrhoea_12_23mo*frac_diarrhea_severe</f>
        <v>4.6000000000000006E-2</v>
      </c>
      <c r="G12" s="60">
        <f>diarrhoea_24_59mo*frac_diarrhea_severe</f>
        <v>4.6000000000000006E-2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</v>
      </c>
      <c r="I15" s="60">
        <f>food_insecure</f>
        <v>0</v>
      </c>
      <c r="J15" s="60">
        <f>food_insecure</f>
        <v>0</v>
      </c>
      <c r="K15" s="60">
        <f>food_insecure</f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0.95299999999999996</v>
      </c>
      <c r="I18" s="60">
        <f>frac_PW_health_facility</f>
        <v>0.95299999999999996</v>
      </c>
      <c r="J18" s="60">
        <f>frac_PW_health_facility</f>
        <v>0.95299999999999996</v>
      </c>
      <c r="K18" s="60">
        <f>frac_PW_health_facility</f>
        <v>0.95299999999999996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0.20399999999999999</v>
      </c>
      <c r="M24" s="60">
        <f>famplan_unmet_need</f>
        <v>0.20399999999999999</v>
      </c>
      <c r="N24" s="60">
        <f>famplan_unmet_need</f>
        <v>0.20399999999999999</v>
      </c>
      <c r="O24" s="60">
        <f>famplan_unmet_need</f>
        <v>0.20399999999999999</v>
      </c>
    </row>
    <row r="25" spans="1:15" ht="15.75" customHeight="1" x14ac:dyDescent="0.2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</v>
      </c>
      <c r="M25" s="60">
        <f>(1-food_insecure)*(0.49)+food_insecure*(0.7)</f>
        <v>0.49</v>
      </c>
      <c r="N25" s="60">
        <f>(1-food_insecure)*(0.49)+food_insecure*(0.7)</f>
        <v>0.49</v>
      </c>
      <c r="O25" s="60">
        <f>(1-food_insecure)*(0.49)+food_insecure*(0.7)</f>
        <v>0.49</v>
      </c>
    </row>
    <row r="26" spans="1:15" ht="15.75" customHeight="1" x14ac:dyDescent="0.2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</v>
      </c>
      <c r="M26" s="60">
        <f>(1-food_insecure)*(0.21)+food_insecure*(0.3)</f>
        <v>0.21</v>
      </c>
      <c r="N26" s="60">
        <f>(1-food_insecure)*(0.21)+food_insecure*(0.3)</f>
        <v>0.21</v>
      </c>
      <c r="O26" s="60">
        <f>(1-food_insecure)*(0.21)+food_insecure*(0.3)</f>
        <v>0.21</v>
      </c>
    </row>
    <row r="27" spans="1:15" ht="15.75" customHeight="1" x14ac:dyDescent="0.2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</v>
      </c>
      <c r="M27" s="60">
        <f>(1-food_insecure)*(0.3)</f>
        <v>0.3</v>
      </c>
      <c r="N27" s="60">
        <f>(1-food_insecure)*(0.3)</f>
        <v>0.3</v>
      </c>
      <c r="O27" s="60">
        <f>(1-food_insecure)*(0.3)</f>
        <v>0.3</v>
      </c>
    </row>
    <row r="28" spans="1:15" ht="15.75" customHeight="1" x14ac:dyDescent="0.2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1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T9Prb5B3W7CPAMWN4fQXM9UHPKty+d1b56QCWNL/bxS3uMuAZnXO8lJ0urS8X4+/sB7BFf1dMh4hEOww53sVFA==" saltValue="16FN1HY/nttzUGEhohlaM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183</v>
      </c>
    </row>
    <row r="2" spans="1:1" x14ac:dyDescent="0.2">
      <c r="A2" s="8" t="s">
        <v>213</v>
      </c>
    </row>
    <row r="3" spans="1:1" x14ac:dyDescent="0.2">
      <c r="A3" s="8" t="s">
        <v>212</v>
      </c>
    </row>
    <row r="4" spans="1:1" x14ac:dyDescent="0.2">
      <c r="A4" s="8" t="s">
        <v>214</v>
      </c>
    </row>
  </sheetData>
  <sheetProtection algorithmName="SHA-512" hashValue="/HE9r4m97axGatxFd96QP4GyOC/PfnaIcCuemiaZDJonKlZCUq+jzBlMILS5cyycDVIcqbL8I/UlKs2QhbVc8w==" saltValue="35Ggju3IdDgEB4ASOpUlP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3.9" customHeight="1" x14ac:dyDescent="0.2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MafwmdTbSWOCvFGSduGo1FNQsgyw3w7vMQwyaI6K7Nz/COeJlGVqRCBhEJrZ3w9OFZ8cRKpLSiFwVAAMnxQyPw==" saltValue="4ala/83MLXlMejgvRjact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2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ZWFIsvtEA4QEdOZvYaTj5HaCACoFTnixaSPQE03WTCa2kICJKuE9AbpPsbHJEnTwE3tUAGT5S1d8Ot9buayXXQ==" saltValue="V7UQy11+ncdBXwGTXmmFg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5Yq6W8zXVoVOEZnHHg3hkqSsXsojdrBkorlM/hp3/9ELGzUJeJFmdp9O0apQLOFFC1fkKImb9fh0sshYp3OwBg==" saltValue="5ZjhvTD949Xv0/dCl07wh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x14ac:dyDescent="0.2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FPTTYE7PupufJUEjTfkta9n0+9d5eS27+Ji2FwythIArQ34hNhvO4jemjoPDvQN+LtDsrHV45nFNmQQbUlJjrg==" saltValue="3GHk/cjr8NC+YuFYF1t81A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x14ac:dyDescent="0.2">
      <c r="A2" s="4" t="s">
        <v>236</v>
      </c>
      <c r="B2" s="102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3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3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2" t="s">
        <v>78</v>
      </c>
      <c r="C5" s="8" t="s">
        <v>150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3"/>
      <c r="C6" s="8" t="s">
        <v>149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3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2" t="s">
        <v>74</v>
      </c>
      <c r="C8" s="8" t="s">
        <v>150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3"/>
      <c r="C9" s="8" t="s">
        <v>149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3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2" t="s">
        <v>77</v>
      </c>
      <c r="C11" s="8" t="s">
        <v>150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3"/>
      <c r="C12" s="8" t="s">
        <v>149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3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2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3"/>
      <c r="C15" s="8" t="s">
        <v>149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3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242</v>
      </c>
      <c r="B19" s="102" t="s">
        <v>104</v>
      </c>
      <c r="C19" s="8" t="s">
        <v>150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3"/>
      <c r="C20" s="8" t="s">
        <v>149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3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2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3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3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2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3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3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2" t="s">
        <v>77</v>
      </c>
      <c r="C28" s="8" t="s">
        <v>150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3"/>
      <c r="C29" s="8" t="s">
        <v>149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3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2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3"/>
      <c r="C32" s="8" t="s">
        <v>149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3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148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239</v>
      </c>
      <c r="B36" s="102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3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3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2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3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3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2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3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3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2" t="s">
        <v>77</v>
      </c>
      <c r="C45" s="8" t="s">
        <v>150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3"/>
      <c r="C46" s="8" t="s">
        <v>149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3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2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3"/>
      <c r="C49" s="8" t="s">
        <v>149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3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148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x14ac:dyDescent="0.2">
      <c r="A55" s="4" t="s">
        <v>237</v>
      </c>
      <c r="B55" s="102" t="s">
        <v>104</v>
      </c>
      <c r="C55" s="8" t="s">
        <v>150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3"/>
      <c r="C56" s="8" t="s">
        <v>149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3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2" t="s">
        <v>78</v>
      </c>
      <c r="C58" s="8" t="s">
        <v>150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3"/>
      <c r="C59" s="8" t="s">
        <v>149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3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2" t="s">
        <v>74</v>
      </c>
      <c r="C61" s="8" t="s">
        <v>150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3"/>
      <c r="C62" s="8" t="s">
        <v>149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3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2" t="s">
        <v>77</v>
      </c>
      <c r="C64" s="8" t="s">
        <v>150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3"/>
      <c r="C65" s="8" t="s">
        <v>149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3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2" t="s">
        <v>75</v>
      </c>
      <c r="C67" s="8" t="s">
        <v>150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3"/>
      <c r="C68" s="8" t="s">
        <v>149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3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148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243</v>
      </c>
      <c r="B72" s="102" t="s">
        <v>104</v>
      </c>
      <c r="C72" s="8" t="s">
        <v>150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3"/>
      <c r="C73" s="8" t="s">
        <v>149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3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2" t="s">
        <v>78</v>
      </c>
      <c r="C75" s="8" t="s">
        <v>150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3"/>
      <c r="C76" s="8" t="s">
        <v>149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3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2" t="s">
        <v>74</v>
      </c>
      <c r="C78" s="8" t="s">
        <v>150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3"/>
      <c r="C79" s="8" t="s">
        <v>149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3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2" t="s">
        <v>77</v>
      </c>
      <c r="C81" s="8" t="s">
        <v>150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3"/>
      <c r="C82" s="8" t="s">
        <v>149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3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2" t="s">
        <v>75</v>
      </c>
      <c r="C84" s="8" t="s">
        <v>150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3"/>
      <c r="C85" s="8" t="s">
        <v>149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3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148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240</v>
      </c>
      <c r="B89" s="102" t="s">
        <v>104</v>
      </c>
      <c r="C89" s="8" t="s">
        <v>150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3"/>
      <c r="C90" s="8" t="s">
        <v>149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3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2" t="s">
        <v>78</v>
      </c>
      <c r="C92" s="8" t="s">
        <v>150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3"/>
      <c r="C93" s="8" t="s">
        <v>149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3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2" t="s">
        <v>74</v>
      </c>
      <c r="C95" s="8" t="s">
        <v>150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3"/>
      <c r="C96" s="8" t="s">
        <v>149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3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2" t="s">
        <v>77</v>
      </c>
      <c r="C98" s="8" t="s">
        <v>150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3"/>
      <c r="C99" s="8" t="s">
        <v>149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3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2" t="s">
        <v>75</v>
      </c>
      <c r="C101" s="8" t="s">
        <v>150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3"/>
      <c r="C102" s="8" t="s">
        <v>149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3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148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x14ac:dyDescent="0.2">
      <c r="A108" s="4" t="s">
        <v>238</v>
      </c>
      <c r="B108" s="102" t="s">
        <v>104</v>
      </c>
      <c r="C108" s="8" t="s">
        <v>150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3"/>
      <c r="C109" s="8" t="s">
        <v>149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3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2" t="s">
        <v>78</v>
      </c>
      <c r="C111" s="8" t="s">
        <v>150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3"/>
      <c r="C112" s="8" t="s">
        <v>149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3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2" t="s">
        <v>74</v>
      </c>
      <c r="C114" s="8" t="s">
        <v>150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3"/>
      <c r="C115" s="8" t="s">
        <v>149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3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2" t="s">
        <v>77</v>
      </c>
      <c r="C117" s="8" t="s">
        <v>150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3"/>
      <c r="C118" s="8" t="s">
        <v>149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3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2" t="s">
        <v>75</v>
      </c>
      <c r="C120" s="8" t="s">
        <v>150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3"/>
      <c r="C121" s="8" t="s">
        <v>149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3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148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244</v>
      </c>
      <c r="B125" s="102" t="s">
        <v>104</v>
      </c>
      <c r="C125" s="8" t="s">
        <v>150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3"/>
      <c r="C126" s="8" t="s">
        <v>149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3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2" t="s">
        <v>78</v>
      </c>
      <c r="C128" s="8" t="s">
        <v>150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3"/>
      <c r="C129" s="8" t="s">
        <v>149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3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2" t="s">
        <v>74</v>
      </c>
      <c r="C131" s="8" t="s">
        <v>150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3"/>
      <c r="C132" s="8" t="s">
        <v>149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3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2" t="s">
        <v>77</v>
      </c>
      <c r="C134" s="8" t="s">
        <v>150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3"/>
      <c r="C135" s="8" t="s">
        <v>149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3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2" t="s">
        <v>75</v>
      </c>
      <c r="C137" s="8" t="s">
        <v>150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3"/>
      <c r="C138" s="8" t="s">
        <v>149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3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148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241</v>
      </c>
      <c r="B142" s="102" t="s">
        <v>104</v>
      </c>
      <c r="C142" s="8" t="s">
        <v>150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3"/>
      <c r="C143" s="8" t="s">
        <v>149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3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2" t="s">
        <v>78</v>
      </c>
      <c r="C145" s="8" t="s">
        <v>150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3"/>
      <c r="C146" s="8" t="s">
        <v>149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3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2" t="s">
        <v>74</v>
      </c>
      <c r="C148" s="8" t="s">
        <v>150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3"/>
      <c r="C149" s="8" t="s">
        <v>149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3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2" t="s">
        <v>77</v>
      </c>
      <c r="C151" s="8" t="s">
        <v>150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3"/>
      <c r="C152" s="8" t="s">
        <v>149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3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2" t="s">
        <v>75</v>
      </c>
      <c r="C154" s="8" t="s">
        <v>150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3"/>
      <c r="C155" s="8" t="s">
        <v>149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3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148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eXD1EACHwWuTZzo+210l9yt0jCXNo8yrRUG8xwIuUQZuGxepz+/Z6KoHCQZR2j6Y+BZ38oPqqFYjIorUWh1kkw==" saltValue="XAT3tlv/g+zg/X0UA+3ymQ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248</v>
      </c>
    </row>
    <row r="2" spans="1:6" ht="15.75" customHeight="1" x14ac:dyDescent="0.2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2">
      <c r="A3" s="4" t="s">
        <v>255</v>
      </c>
      <c r="B3" s="14"/>
      <c r="C3" s="71"/>
      <c r="D3" s="72"/>
      <c r="E3" s="72"/>
      <c r="F3" s="72"/>
    </row>
    <row r="4" spans="1:6" ht="15.75" customHeight="1" x14ac:dyDescent="0.2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261</v>
      </c>
      <c r="C11" s="74"/>
      <c r="D11" s="75"/>
      <c r="E11" s="75"/>
      <c r="F11" s="75"/>
    </row>
    <row r="12" spans="1:6" ht="15.75" customHeight="1" x14ac:dyDescent="0.2">
      <c r="A12" s="4" t="s">
        <v>249</v>
      </c>
      <c r="C12" s="73"/>
      <c r="D12" s="64"/>
      <c r="E12" s="64"/>
      <c r="F12" s="64"/>
    </row>
    <row r="13" spans="1:6" ht="15.75" customHeight="1" x14ac:dyDescent="0.2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97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95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91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248</v>
      </c>
    </row>
    <row r="29" spans="1:6" ht="15.75" customHeight="1" x14ac:dyDescent="0.2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2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">
      <c r="B31" s="5" t="s">
        <v>27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63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10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11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253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2">
      <c r="A39" s="4" t="s">
        <v>250</v>
      </c>
      <c r="C39" s="73"/>
      <c r="D39" s="64"/>
      <c r="E39" s="64"/>
      <c r="F39" s="64"/>
    </row>
    <row r="40" spans="1:6" ht="15.75" customHeight="1" x14ac:dyDescent="0.2">
      <c r="B40" s="11" t="s">
        <v>265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246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262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">
      <c r="B45" s="5" t="s">
        <v>93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97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95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91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96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98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92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94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248</v>
      </c>
    </row>
    <row r="56" spans="1:6" ht="15.75" customHeight="1" x14ac:dyDescent="0.2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2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">
      <c r="B58" s="5" t="s">
        <v>27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63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10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11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254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2">
      <c r="A66" s="4" t="s">
        <v>251</v>
      </c>
      <c r="C66" s="73"/>
      <c r="D66" s="64"/>
      <c r="E66" s="64"/>
      <c r="F66" s="64"/>
    </row>
    <row r="67" spans="1:6" ht="15.75" customHeight="1" x14ac:dyDescent="0.2">
      <c r="B67" s="11" t="s">
        <v>266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247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263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">
      <c r="B72" s="5" t="s">
        <v>93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97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95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91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96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98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92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94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T/blxhi1/uEq7GD+uBuZDw4hzwjd0nxwpKzt0odbv+zl+GO5KUeAg42QmAMHp3RCb3+hPVVXO2mpiwJWokQeJA==" saltValue="tRD/xGvbwKi4mVgHcPqWE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278</v>
      </c>
    </row>
    <row r="2" spans="1:16" x14ac:dyDescent="0.2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279</v>
      </c>
    </row>
    <row r="29" spans="1:16" x14ac:dyDescent="0.2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276</v>
      </c>
    </row>
    <row r="56" spans="1:16" ht="26.45" customHeight="1" x14ac:dyDescent="0.2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x14ac:dyDescent="0.2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277</v>
      </c>
    </row>
    <row r="65" spans="1:16" ht="26.45" customHeight="1" x14ac:dyDescent="0.2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93</v>
      </c>
      <c r="C66" s="3" t="s">
        <v>124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97</v>
      </c>
      <c r="C70" s="3" t="s">
        <v>124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95</v>
      </c>
      <c r="C74" s="3" t="s">
        <v>124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280</v>
      </c>
    </row>
    <row r="104" spans="1:16" ht="26.45" customHeight="1" x14ac:dyDescent="0.2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x14ac:dyDescent="0.2">
      <c r="A113" s="4"/>
      <c r="B113" s="8" t="s">
        <v>84</v>
      </c>
      <c r="C113" s="3" t="s">
        <v>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273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274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272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102</v>
      </c>
      <c r="C117" s="3" t="s">
        <v>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273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274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272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273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274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272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3</v>
      </c>
      <c r="C125" s="3" t="s">
        <v>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273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274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272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2</v>
      </c>
      <c r="C129" s="3" t="s">
        <v>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273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274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272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99</v>
      </c>
      <c r="C133" s="3" t="s">
        <v>7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273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274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272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x14ac:dyDescent="0.2">
      <c r="A140" s="4"/>
      <c r="B140" s="8" t="s">
        <v>84</v>
      </c>
      <c r="C140" s="3" t="s">
        <v>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273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6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207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102</v>
      </c>
      <c r="C144" s="3" t="s">
        <v>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273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6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207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273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6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207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3</v>
      </c>
      <c r="C152" s="3" t="s">
        <v>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273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6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207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2</v>
      </c>
      <c r="C156" s="3" t="s">
        <v>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273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6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207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99</v>
      </c>
      <c r="C160" s="3" t="s">
        <v>7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273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6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207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x14ac:dyDescent="0.2">
      <c r="A167" s="4"/>
      <c r="B167" s="8" t="s">
        <v>81</v>
      </c>
      <c r="C167" s="3" t="s">
        <v>275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268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89</v>
      </c>
      <c r="C169" s="3" t="s">
        <v>275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268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275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268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x14ac:dyDescent="0.2">
      <c r="A176" s="82"/>
      <c r="B176" s="8" t="s">
        <v>93</v>
      </c>
      <c r="C176" s="3" t="s">
        <v>124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127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126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125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97</v>
      </c>
      <c r="C180" s="3" t="s">
        <v>124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127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126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125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95</v>
      </c>
      <c r="C184" s="3" t="s">
        <v>124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127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126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125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96</v>
      </c>
      <c r="C188" s="3" t="s">
        <v>124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127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126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125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84</v>
      </c>
      <c r="C192" s="3" t="s">
        <v>124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127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126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125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102</v>
      </c>
      <c r="C196" s="3" t="s">
        <v>124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127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126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125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124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127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126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125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2</v>
      </c>
      <c r="C204" s="3" t="s">
        <v>124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127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126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125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101</v>
      </c>
      <c r="C208" s="3" t="s">
        <v>124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127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126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125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x14ac:dyDescent="0.2">
      <c r="A215" s="4"/>
      <c r="C215" s="3" t="s">
        <v>124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127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126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125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245</v>
      </c>
      <c r="H220" s="92"/>
    </row>
    <row r="221" spans="1:9" x14ac:dyDescent="0.2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x14ac:dyDescent="0.2">
      <c r="A223" s="4"/>
      <c r="B223" s="8" t="s">
        <v>84</v>
      </c>
      <c r="C223" s="3" t="s">
        <v>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273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274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272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102</v>
      </c>
      <c r="C227" s="3" t="s">
        <v>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273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274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272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273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274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272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3</v>
      </c>
      <c r="C235" s="3" t="s">
        <v>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273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274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272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2</v>
      </c>
      <c r="C239" s="3" t="s">
        <v>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273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274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272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99</v>
      </c>
      <c r="C243" s="3" t="s">
        <v>7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273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274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272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x14ac:dyDescent="0.2">
      <c r="A250" s="4"/>
      <c r="B250" s="8" t="s">
        <v>84</v>
      </c>
      <c r="C250" s="3" t="s">
        <v>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273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6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207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102</v>
      </c>
      <c r="C254" s="3" t="s">
        <v>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273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6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207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273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6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207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3</v>
      </c>
      <c r="C262" s="3" t="s">
        <v>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273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6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207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2</v>
      </c>
      <c r="C266" s="3" t="s">
        <v>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273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6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207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99</v>
      </c>
      <c r="C270" s="3" t="s">
        <v>7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273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6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207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x14ac:dyDescent="0.2">
      <c r="A277" s="4"/>
      <c r="B277" s="8" t="s">
        <v>81</v>
      </c>
      <c r="C277" s="3" t="s">
        <v>275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268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89</v>
      </c>
      <c r="C279" s="3" t="s">
        <v>275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268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275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268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x14ac:dyDescent="0.2">
      <c r="A286" s="82"/>
      <c r="B286" s="8" t="s">
        <v>93</v>
      </c>
      <c r="C286" s="3" t="s">
        <v>124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127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126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125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97</v>
      </c>
      <c r="C290" s="3" t="s">
        <v>124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127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126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125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95</v>
      </c>
      <c r="C294" s="3" t="s">
        <v>124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127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126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125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96</v>
      </c>
      <c r="C298" s="3" t="s">
        <v>124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127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126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125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84</v>
      </c>
      <c r="C302" s="3" t="s">
        <v>124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127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126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125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102</v>
      </c>
      <c r="C306" s="3" t="s">
        <v>124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127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126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125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124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127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126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125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2</v>
      </c>
      <c r="C314" s="3" t="s">
        <v>124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127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126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125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101</v>
      </c>
      <c r="C318" s="3" t="s">
        <v>124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127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126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125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x14ac:dyDescent="0.2">
      <c r="A325" s="4"/>
      <c r="C325" s="3" t="s">
        <v>124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127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126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125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QWzhA9JHs0o8lbjXxvW9SPMoqwORAuyjx8HsbaSqkerCDVZbkWmoqpekJ2eG8U3Q6BRLufBE76XZJ8tFV8NyYQ==" saltValue="KFZAE4s6FvKsxo6XIIxF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313</v>
      </c>
    </row>
    <row r="2" spans="1:7" ht="14.25" customHeight="1" x14ac:dyDescent="0.2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283</v>
      </c>
    </row>
    <row r="6" spans="1:7" ht="14.25" customHeight="1" x14ac:dyDescent="0.2">
      <c r="B6" s="5" t="s">
        <v>193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204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307</v>
      </c>
    </row>
    <row r="12" spans="1:7" ht="14.25" customHeight="1" x14ac:dyDescent="0.2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314</v>
      </c>
    </row>
    <row r="15" spans="1:7" ht="14.25" customHeight="1" x14ac:dyDescent="0.2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310</v>
      </c>
    </row>
    <row r="20" spans="1:7" s="14" customFormat="1" ht="14.25" customHeight="1" x14ac:dyDescent="0.2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313</v>
      </c>
      <c r="B24" s="68"/>
      <c r="C24" s="68"/>
      <c r="D24" s="68"/>
      <c r="E24" s="68"/>
      <c r="F24" s="68"/>
      <c r="G24" s="68"/>
    </row>
    <row r="25" spans="1:7" x14ac:dyDescent="0.2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">
      <c r="B26" s="11" t="s">
        <v>301</v>
      </c>
      <c r="C26" s="90" t="s">
        <v>8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287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284</v>
      </c>
    </row>
    <row r="29" spans="1:7" x14ac:dyDescent="0.2">
      <c r="B29" s="5" t="s">
        <v>315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305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319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317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308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314</v>
      </c>
      <c r="B37" s="68"/>
      <c r="C37" s="68"/>
      <c r="D37" s="68"/>
      <c r="E37" s="68"/>
      <c r="F37" s="68"/>
      <c r="G37" s="68"/>
    </row>
    <row r="38" spans="1:7" x14ac:dyDescent="0.2">
      <c r="A38" s="82" t="s">
        <v>282</v>
      </c>
      <c r="B38" s="5" t="s">
        <v>295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105</v>
      </c>
      <c r="B40" s="11" t="s">
        <v>298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311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">
      <c r="B44" s="11" t="s">
        <v>289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245</v>
      </c>
    </row>
    <row r="47" spans="1:7" x14ac:dyDescent="0.2">
      <c r="A47" s="67" t="s">
        <v>313</v>
      </c>
      <c r="B47" s="68"/>
      <c r="C47" s="68"/>
      <c r="D47" s="68"/>
      <c r="E47" s="68"/>
      <c r="F47" s="68"/>
      <c r="G47" s="68"/>
    </row>
    <row r="48" spans="1:7" x14ac:dyDescent="0.2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">
      <c r="B49" s="11" t="s">
        <v>302</v>
      </c>
      <c r="C49" s="90" t="s">
        <v>8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288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285</v>
      </c>
    </row>
    <row r="52" spans="1:7" x14ac:dyDescent="0.2">
      <c r="B52" s="5" t="s">
        <v>316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320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318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309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314</v>
      </c>
      <c r="B60" s="68"/>
      <c r="C60" s="68"/>
      <c r="D60" s="68"/>
      <c r="E60" s="68"/>
      <c r="F60" s="68"/>
      <c r="G60" s="68"/>
    </row>
    <row r="61" spans="1:7" x14ac:dyDescent="0.2">
      <c r="A61" s="82" t="s">
        <v>282</v>
      </c>
      <c r="B61" s="5" t="s">
        <v>296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293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105</v>
      </c>
      <c r="B63" s="11" t="s">
        <v>299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312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">
      <c r="B67" s="11" t="s">
        <v>290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Fy1iR8KLVdAc5hYMZ+LJyxpJb2exx6SPMTZuEb5gwYH1x2+pfgMK454ySVrcBegksLJzWO3Q8kLrlZLOWV6qBQ==" saltValue="iOkZ963ofHDRM87keo6Gs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">
      <c r="A2" s="5" t="s">
        <v>165</v>
      </c>
      <c r="B2" s="5" t="s">
        <v>322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178</v>
      </c>
      <c r="B4" s="5" t="s">
        <v>322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179</v>
      </c>
      <c r="B6" s="5" t="s">
        <v>322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191</v>
      </c>
      <c r="B12" s="5" t="s">
        <v>322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">
      <c r="A17" s="5" t="s">
        <v>165</v>
      </c>
      <c r="B17" s="5" t="s">
        <v>322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178</v>
      </c>
      <c r="B19" s="5" t="s">
        <v>322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179</v>
      </c>
      <c r="B21" s="5" t="s">
        <v>322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180</v>
      </c>
      <c r="B23" s="5" t="s">
        <v>322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185</v>
      </c>
      <c r="B25" s="5" t="s">
        <v>322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191</v>
      </c>
      <c r="B27" s="5" t="s">
        <v>322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245</v>
      </c>
    </row>
    <row r="31" spans="1:6" ht="15.75" customHeight="1" x14ac:dyDescent="0.2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">
      <c r="A32" s="5" t="s">
        <v>165</v>
      </c>
      <c r="B32" s="5" t="s">
        <v>322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178</v>
      </c>
      <c r="B34" s="5" t="s">
        <v>322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179</v>
      </c>
      <c r="B36" s="5" t="s">
        <v>322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180</v>
      </c>
      <c r="B38" s="5" t="s">
        <v>322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185</v>
      </c>
      <c r="B40" s="5" t="s">
        <v>322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191</v>
      </c>
      <c r="B42" s="5" t="s">
        <v>322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qvpznGpi36OdmA8/TNRZNhykmP8znhvbDJEtwCtm3pwlwIq/ipXUnmiJr8VoJ/AYUYfUurk8G4tOxHZMrqNOeg==" saltValue="oVkiydKj6d5PyWcLri4u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x14ac:dyDescent="0.2">
      <c r="A2" s="4" t="s">
        <v>326</v>
      </c>
    </row>
    <row r="3" spans="1:15" x14ac:dyDescent="0.2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204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323</v>
      </c>
      <c r="B17" s="11"/>
    </row>
    <row r="18" spans="1:15" x14ac:dyDescent="0.2">
      <c r="B18" s="5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x14ac:dyDescent="0.2">
      <c r="A25" s="4" t="s">
        <v>327</v>
      </c>
    </row>
    <row r="26" spans="1:15" x14ac:dyDescent="0.2">
      <c r="B26" s="11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190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191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204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324</v>
      </c>
      <c r="B40" s="11"/>
    </row>
    <row r="41" spans="1:15" x14ac:dyDescent="0.2">
      <c r="B41" s="5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245</v>
      </c>
    </row>
    <row r="47" spans="1:15" ht="26.45" customHeight="1" x14ac:dyDescent="0.2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x14ac:dyDescent="0.2">
      <c r="A48" s="4" t="s">
        <v>328</v>
      </c>
    </row>
    <row r="49" spans="1:15" x14ac:dyDescent="0.2">
      <c r="B49" s="11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190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191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204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325</v>
      </c>
      <c r="B63" s="11"/>
    </row>
    <row r="64" spans="1:15" x14ac:dyDescent="0.2">
      <c r="B64" s="5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CeIlVbofeOngCl9wWqominfrS2vChzv+hdtMS8LlGZ3vlKZxLG9OCZtDyrNw2AhIvfJhIU5GfmkPGoZvTspCAQ==" saltValue="GoiLSlEdWtm90tW/070lT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x14ac:dyDescent="0.2">
      <c r="A2" s="4" t="s">
        <v>333</v>
      </c>
    </row>
    <row r="3" spans="1:7" x14ac:dyDescent="0.2">
      <c r="B3" s="11" t="s">
        <v>164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330</v>
      </c>
      <c r="B4" s="11"/>
      <c r="C4" s="83"/>
      <c r="D4" s="83"/>
      <c r="E4" s="83"/>
      <c r="F4" s="83"/>
      <c r="G4" s="83"/>
    </row>
    <row r="5" spans="1:7" x14ac:dyDescent="0.2">
      <c r="B5" s="5" t="s">
        <v>162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329</v>
      </c>
    </row>
    <row r="8" spans="1:7" x14ac:dyDescent="0.2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x14ac:dyDescent="0.2">
      <c r="A9" s="4" t="s">
        <v>334</v>
      </c>
    </row>
    <row r="10" spans="1:7" x14ac:dyDescent="0.2">
      <c r="B10" s="11" t="s">
        <v>164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331</v>
      </c>
      <c r="B11" s="11"/>
      <c r="C11" s="83"/>
      <c r="D11" s="83"/>
      <c r="E11" s="83"/>
      <c r="F11" s="83"/>
      <c r="G11" s="83"/>
    </row>
    <row r="12" spans="1:7" x14ac:dyDescent="0.2">
      <c r="B12" s="5" t="s">
        <v>162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336</v>
      </c>
    </row>
    <row r="15" spans="1:7" x14ac:dyDescent="0.2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x14ac:dyDescent="0.2">
      <c r="A16" s="4" t="s">
        <v>335</v>
      </c>
    </row>
    <row r="17" spans="1:7" x14ac:dyDescent="0.2">
      <c r="B17" s="11" t="s">
        <v>164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332</v>
      </c>
      <c r="B18" s="11"/>
      <c r="C18" s="83"/>
      <c r="D18" s="83"/>
      <c r="E18" s="83"/>
      <c r="F18" s="83"/>
      <c r="G18" s="83"/>
    </row>
    <row r="19" spans="1:7" x14ac:dyDescent="0.2">
      <c r="B19" s="5" t="s">
        <v>162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gk049h0hh2oWH+YJ2UssOoQGcpN1vTnslfbryCXDRxgQPcCJcBK6fszYXBaOvEGxvRN75RAwrDHDoIwDaB6w4g==" saltValue="MfxW6/GfX1yAFqa40eOkf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x14ac:dyDescent="0.2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338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338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6</v>
      </c>
      <c r="C7" s="5" t="s">
        <v>337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338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338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6</v>
      </c>
      <c r="C11" s="5" t="s">
        <v>337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338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338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6</v>
      </c>
      <c r="C15" s="5" t="s">
        <v>337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338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338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6</v>
      </c>
      <c r="C19" s="5" t="s">
        <v>337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338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173</v>
      </c>
      <c r="B21" s="5" t="s">
        <v>92</v>
      </c>
      <c r="C21" s="5" t="s">
        <v>337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171</v>
      </c>
      <c r="B23" s="5" t="s">
        <v>92</v>
      </c>
      <c r="C23" s="5" t="s">
        <v>337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172</v>
      </c>
      <c r="B25" s="5" t="s">
        <v>92</v>
      </c>
      <c r="C25" s="5" t="s">
        <v>337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203</v>
      </c>
      <c r="B42" s="5" t="s">
        <v>84</v>
      </c>
      <c r="C42" s="5" t="s">
        <v>337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338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102</v>
      </c>
      <c r="C45" s="5" t="s">
        <v>337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338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192</v>
      </c>
      <c r="B48" s="5" t="s">
        <v>84</v>
      </c>
      <c r="C48" s="5" t="s">
        <v>337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202</v>
      </c>
      <c r="B50" s="5" t="s">
        <v>84</v>
      </c>
      <c r="C50" s="5" t="s">
        <v>337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182</v>
      </c>
      <c r="B52" s="5" t="s">
        <v>96</v>
      </c>
      <c r="C52" s="5" t="s">
        <v>337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329</v>
      </c>
      <c r="B55" s="97"/>
      <c r="C55" s="97"/>
    </row>
    <row r="56" spans="1:8" x14ac:dyDescent="0.2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x14ac:dyDescent="0.2">
      <c r="A57" s="5" t="s">
        <v>196</v>
      </c>
      <c r="B57" s="5" t="s">
        <v>84</v>
      </c>
      <c r="C57" s="5" t="s">
        <v>337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338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193</v>
      </c>
      <c r="B60" s="5" t="s">
        <v>207</v>
      </c>
      <c r="C60" s="5" t="s">
        <v>337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338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6</v>
      </c>
      <c r="C62" s="5" t="s">
        <v>337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338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184</v>
      </c>
      <c r="B64" s="5" t="s">
        <v>207</v>
      </c>
      <c r="C64" s="5" t="s">
        <v>337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338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6</v>
      </c>
      <c r="C66" s="5" t="s">
        <v>337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338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204</v>
      </c>
      <c r="B68" s="5" t="s">
        <v>207</v>
      </c>
      <c r="C68" s="5" t="s">
        <v>337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338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6</v>
      </c>
      <c r="C70" s="5" t="s">
        <v>337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338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167</v>
      </c>
      <c r="B72" s="5" t="s">
        <v>207</v>
      </c>
      <c r="C72" s="5" t="s">
        <v>337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338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6</v>
      </c>
      <c r="C74" s="5" t="s">
        <v>337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338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173</v>
      </c>
      <c r="B76" s="5" t="s">
        <v>92</v>
      </c>
      <c r="C76" s="5" t="s">
        <v>337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171</v>
      </c>
      <c r="B78" s="5" t="s">
        <v>92</v>
      </c>
      <c r="C78" s="5" t="s">
        <v>337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172</v>
      </c>
      <c r="B80" s="5" t="s">
        <v>92</v>
      </c>
      <c r="C80" s="5" t="s">
        <v>337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200</v>
      </c>
      <c r="B82" s="5" t="s">
        <v>84</v>
      </c>
      <c r="C82" s="5" t="s">
        <v>337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338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201</v>
      </c>
      <c r="B85" s="5" t="s">
        <v>84</v>
      </c>
      <c r="C85" s="5" t="s">
        <v>337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338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199</v>
      </c>
      <c r="B88" s="5" t="s">
        <v>84</v>
      </c>
      <c r="C88" s="5" t="s">
        <v>337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338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198</v>
      </c>
      <c r="B91" s="5" t="s">
        <v>84</v>
      </c>
      <c r="C91" s="5" t="s">
        <v>337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338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197</v>
      </c>
      <c r="B94" s="5" t="s">
        <v>84</v>
      </c>
      <c r="C94" s="5" t="s">
        <v>337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338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203</v>
      </c>
      <c r="B97" s="5" t="s">
        <v>84</v>
      </c>
      <c r="C97" s="5" t="s">
        <v>337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338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102</v>
      </c>
      <c r="C100" s="5" t="s">
        <v>337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338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192</v>
      </c>
      <c r="B103" s="5" t="s">
        <v>84</v>
      </c>
      <c r="C103" s="5" t="s">
        <v>337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202</v>
      </c>
      <c r="B105" s="5" t="s">
        <v>84</v>
      </c>
      <c r="C105" s="5" t="s">
        <v>337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182</v>
      </c>
      <c r="B107" s="5" t="s">
        <v>96</v>
      </c>
      <c r="C107" s="5" t="s">
        <v>337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336</v>
      </c>
      <c r="B110" s="97"/>
      <c r="C110" s="97"/>
    </row>
    <row r="111" spans="1:8" x14ac:dyDescent="0.2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">
      <c r="A112" s="5" t="s">
        <v>196</v>
      </c>
      <c r="B112" s="5" t="s">
        <v>84</v>
      </c>
      <c r="C112" s="5" t="s">
        <v>337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338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193</v>
      </c>
      <c r="B115" s="5" t="s">
        <v>207</v>
      </c>
      <c r="C115" s="5" t="s">
        <v>337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338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6</v>
      </c>
      <c r="C117" s="5" t="s">
        <v>337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338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184</v>
      </c>
      <c r="B119" s="5" t="s">
        <v>207</v>
      </c>
      <c r="C119" s="5" t="s">
        <v>337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338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6</v>
      </c>
      <c r="C121" s="5" t="s">
        <v>337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338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204</v>
      </c>
      <c r="B123" s="5" t="s">
        <v>207</v>
      </c>
      <c r="C123" s="5" t="s">
        <v>337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338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6</v>
      </c>
      <c r="C125" s="5" t="s">
        <v>337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338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167</v>
      </c>
      <c r="B127" s="5" t="s">
        <v>207</v>
      </c>
      <c r="C127" s="5" t="s">
        <v>337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338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6</v>
      </c>
      <c r="C129" s="5" t="s">
        <v>337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338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173</v>
      </c>
      <c r="B131" s="5" t="s">
        <v>92</v>
      </c>
      <c r="C131" s="5" t="s">
        <v>337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171</v>
      </c>
      <c r="B133" s="5" t="s">
        <v>92</v>
      </c>
      <c r="C133" s="5" t="s">
        <v>337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172</v>
      </c>
      <c r="B135" s="5" t="s">
        <v>92</v>
      </c>
      <c r="C135" s="5" t="s">
        <v>337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200</v>
      </c>
      <c r="B137" s="5" t="s">
        <v>84</v>
      </c>
      <c r="C137" s="5" t="s">
        <v>337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338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201</v>
      </c>
      <c r="B140" s="5" t="s">
        <v>84</v>
      </c>
      <c r="C140" s="5" t="s">
        <v>337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338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199</v>
      </c>
      <c r="B143" s="5" t="s">
        <v>84</v>
      </c>
      <c r="C143" s="5" t="s">
        <v>337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338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198</v>
      </c>
      <c r="B146" s="5" t="s">
        <v>84</v>
      </c>
      <c r="C146" s="5" t="s">
        <v>337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338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197</v>
      </c>
      <c r="B149" s="5" t="s">
        <v>84</v>
      </c>
      <c r="C149" s="5" t="s">
        <v>337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338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203</v>
      </c>
      <c r="B152" s="5" t="s">
        <v>84</v>
      </c>
      <c r="C152" s="5" t="s">
        <v>337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338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102</v>
      </c>
      <c r="C155" s="5" t="s">
        <v>337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338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192</v>
      </c>
      <c r="B158" s="5" t="s">
        <v>84</v>
      </c>
      <c r="C158" s="5" t="s">
        <v>337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202</v>
      </c>
      <c r="B160" s="5" t="s">
        <v>84</v>
      </c>
      <c r="C160" s="5" t="s">
        <v>337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182</v>
      </c>
      <c r="B162" s="5" t="s">
        <v>96</v>
      </c>
      <c r="C162" s="5" t="s">
        <v>337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scaiqiGdMO0lmIcbYLQunpXKM8ScSOsnJN5VlCyO+qYo0GcYtuH/lO3gF0wd2ffW1CXGE7Ahi8oOTPSuRbAskA==" saltValue="TodNqnMG+/o3Vbsi3shHi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x14ac:dyDescent="0.2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329</v>
      </c>
    </row>
    <row r="10" spans="1:8" x14ac:dyDescent="0.2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x14ac:dyDescent="0.2">
      <c r="A11" s="3" t="s">
        <v>166</v>
      </c>
      <c r="B11" s="8" t="s">
        <v>86</v>
      </c>
      <c r="C11" s="3" t="s">
        <v>337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189</v>
      </c>
      <c r="B13" s="8" t="s">
        <v>86</v>
      </c>
      <c r="C13" s="3" t="s">
        <v>337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188</v>
      </c>
      <c r="B15" s="8" t="s">
        <v>86</v>
      </c>
      <c r="C15" s="3" t="s">
        <v>337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336</v>
      </c>
    </row>
    <row r="19" spans="1:7" x14ac:dyDescent="0.2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x14ac:dyDescent="0.2">
      <c r="A20" s="3" t="s">
        <v>166</v>
      </c>
      <c r="B20" s="8" t="s">
        <v>86</v>
      </c>
      <c r="C20" s="3" t="s">
        <v>337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189</v>
      </c>
      <c r="B22" s="8" t="s">
        <v>86</v>
      </c>
      <c r="C22" s="3" t="s">
        <v>337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188</v>
      </c>
      <c r="B24" s="8" t="s">
        <v>86</v>
      </c>
      <c r="C24" s="3" t="s">
        <v>337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zimHrr7x+aUU000riMI/fqygjPh6l3OeyWNxP9UbHGMiST/NXYsn9XggzBtJO65ihn/D1lacWzaLzlU6yzdGXw==" saltValue="F+7jvx+yzMGJt/YL/RqLw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lang=es</cp:keywords>
  <cp:lastModifiedBy>Romesh Abeysuriya</cp:lastModifiedBy>
  <dcterms:created xsi:type="dcterms:W3CDTF">2017-08-01T10:42:13Z</dcterms:created>
  <dcterms:modified xsi:type="dcterms:W3CDTF">2023-01-25T11:36:27Z</dcterms:modified>
</cp:coreProperties>
</file>