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B1DE85DB-4439-46AB-8414-7A69D63A2EE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I38" i="2" s="1"/>
  <c r="A38" i="2"/>
  <c r="A34" i="2"/>
  <c r="A31" i="2"/>
  <c r="A30" i="2"/>
  <c r="A24" i="2"/>
  <c r="A23" i="2"/>
  <c r="A22" i="2"/>
  <c r="A18" i="2"/>
  <c r="A16" i="2"/>
  <c r="A15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26" i="2" l="1"/>
  <c r="I9" i="2"/>
  <c r="A32" i="2"/>
  <c r="A39" i="2"/>
  <c r="A14" i="2"/>
  <c r="I39" i="2"/>
  <c r="A17" i="2"/>
  <c r="A25" i="2"/>
  <c r="A33" i="2"/>
  <c r="A19" i="2"/>
  <c r="A27" i="2"/>
  <c r="A35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2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<sst xmlns="http://schemas.openxmlformats.org/spreadsheetml/2006/main" count="2092" uniqueCount="341">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</sst>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784282.875</v>
      </c>
    </row>
    <row r="8" spans="1:3" ht="15" customHeight="1" x14ac:dyDescent="0.2">
      <c r="B8" s="5" t="s">
        <v>44</v>
      </c>
      <c r="C8" s="44">
        <v>9.0000000000000011E-3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0.59812629699706998</v>
      </c>
    </row>
    <row r="11" spans="1:3" ht="15" customHeight="1" x14ac:dyDescent="0.2">
      <c r="B11" s="5" t="s">
        <v>49</v>
      </c>
      <c r="C11" s="45">
        <v>0.36899999999999999</v>
      </c>
    </row>
    <row r="12" spans="1:3" ht="15" customHeight="1" x14ac:dyDescent="0.2">
      <c r="B12" s="5" t="s">
        <v>41</v>
      </c>
      <c r="C12" s="45">
        <v>0.54400000000000004</v>
      </c>
    </row>
    <row r="13" spans="1:3" ht="15" customHeight="1" x14ac:dyDescent="0.2">
      <c r="B13" s="5" t="s">
        <v>62</v>
      </c>
      <c r="C13" s="45">
        <v>0.38700000000000001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0.12590000000000001</v>
      </c>
    </row>
    <row r="24" spans="1:3" ht="15" customHeight="1" x14ac:dyDescent="0.2">
      <c r="B24" s="15" t="s">
        <v>46</v>
      </c>
      <c r="C24" s="45">
        <v>0.54390000000000005</v>
      </c>
    </row>
    <row r="25" spans="1:3" ht="15" customHeight="1" x14ac:dyDescent="0.2">
      <c r="B25" s="15" t="s">
        <v>47</v>
      </c>
      <c r="C25" s="45">
        <v>0.28079999999999999</v>
      </c>
    </row>
    <row r="26" spans="1:3" ht="15" customHeight="1" x14ac:dyDescent="0.2">
      <c r="B26" s="15" t="s">
        <v>48</v>
      </c>
      <c r="C26" s="45">
        <v>4.9400000000000013E-2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0.33982819689320298</v>
      </c>
    </row>
    <row r="30" spans="1:3" ht="14.25" customHeight="1" x14ac:dyDescent="0.2">
      <c r="B30" s="25" t="s">
        <v>63</v>
      </c>
      <c r="C30" s="99">
        <v>6.2561187718748801E-2</v>
      </c>
    </row>
    <row r="31" spans="1:3" ht="14.25" customHeight="1" x14ac:dyDescent="0.2">
      <c r="B31" s="25" t="s">
        <v>10</v>
      </c>
      <c r="C31" s="99">
        <v>0.10830365549783399</v>
      </c>
    </row>
    <row r="32" spans="1:3" ht="14.25" customHeight="1" x14ac:dyDescent="0.2">
      <c r="B32" s="25" t="s">
        <v>11</v>
      </c>
      <c r="C32" s="99">
        <v>0.489306959890214</v>
      </c>
    </row>
    <row r="33" spans="1:5" ht="13.15" customHeight="1" x14ac:dyDescent="0.2">
      <c r="B33" s="27" t="s">
        <v>60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12.301032837272601</v>
      </c>
    </row>
    <row r="38" spans="1:5" ht="15" customHeight="1" x14ac:dyDescent="0.2">
      <c r="B38" s="11" t="s">
        <v>35</v>
      </c>
      <c r="C38" s="43">
        <v>16.361929983581401</v>
      </c>
      <c r="D38" s="12"/>
      <c r="E38" s="13"/>
    </row>
    <row r="39" spans="1:5" ht="15" customHeight="1" x14ac:dyDescent="0.2">
      <c r="B39" s="11" t="s">
        <v>61</v>
      </c>
      <c r="C39" s="43">
        <v>18.311708848745699</v>
      </c>
      <c r="D39" s="12"/>
      <c r="E39" s="12"/>
    </row>
    <row r="40" spans="1:5" ht="15" customHeight="1" x14ac:dyDescent="0.2">
      <c r="B40" s="11" t="s">
        <v>36</v>
      </c>
      <c r="C40" s="100">
        <v>0.6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6.8350214669999998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2.3189399999999999E-2</v>
      </c>
      <c r="D45" s="12"/>
    </row>
    <row r="46" spans="1:5" ht="15.75" customHeight="1" x14ac:dyDescent="0.2">
      <c r="B46" s="11" t="s">
        <v>51</v>
      </c>
      <c r="C46" s="45">
        <v>8.1205899999999998E-2</v>
      </c>
      <c r="D46" s="12"/>
    </row>
    <row r="47" spans="1:5" ht="15.75" customHeight="1" x14ac:dyDescent="0.2">
      <c r="B47" s="11" t="s">
        <v>59</v>
      </c>
      <c r="C47" s="45">
        <v>0.12579499999999999</v>
      </c>
      <c r="D47" s="12"/>
      <c r="E47" s="13"/>
    </row>
    <row r="48" spans="1:5" ht="15" customHeight="1" x14ac:dyDescent="0.2">
      <c r="B48" s="11" t="s">
        <v>58</v>
      </c>
      <c r="C48" s="46">
        <v>0.76980970000000004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0.58899100000000004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0.17313998999999899</v>
      </c>
    </row>
    <row r="63" spans="1:4" ht="15.75" customHeight="1" x14ac:dyDescent="0.2">
      <c r="A63" s="4"/>
    </row>
  </sheetData>
  <sheetProtection algorithmName="SHA-512" hashValue="a8go4y6tadctYHaXEAzxPrneaYksVVR0TcaiJO32jwMQxG3rjxieWkvvQburNN6BePFrmISukb619Lnpv82ObQ==" saltValue="+CFPHGSg3MrviusSQXnr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0.73060926398862802</v>
      </c>
      <c r="C2" s="98">
        <v>0.95</v>
      </c>
      <c r="D2" s="56">
        <v>46.514149795651832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42.714114955724838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233.86921568365631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0.6968996460704564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0.22639899577035499</v>
      </c>
      <c r="C10" s="98">
        <v>0.95</v>
      </c>
      <c r="D10" s="56">
        <v>13.73182685574543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0.22639899577035499</v>
      </c>
      <c r="C11" s="98">
        <v>0.95</v>
      </c>
      <c r="D11" s="56">
        <v>13.73182685574543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0.22639899577035499</v>
      </c>
      <c r="C12" s="98">
        <v>0.95</v>
      </c>
      <c r="D12" s="56">
        <v>13.73182685574543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0.22639899577035499</v>
      </c>
      <c r="C13" s="98">
        <v>0.95</v>
      </c>
      <c r="D13" s="56">
        <v>13.73182685574543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0.22639899577035499</v>
      </c>
      <c r="C14" s="98">
        <v>0.95</v>
      </c>
      <c r="D14" s="56">
        <v>13.73182685574543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0.22639899577035499</v>
      </c>
      <c r="C15" s="98">
        <v>0.95</v>
      </c>
      <c r="D15" s="56">
        <v>13.73182685574543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0.47098850075500898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0.97</v>
      </c>
      <c r="C18" s="98">
        <v>0.95</v>
      </c>
      <c r="D18" s="56">
        <v>5.4458602900381443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5.4458602900381443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0.99578329999999993</v>
      </c>
      <c r="C21" s="98">
        <v>0.95</v>
      </c>
      <c r="D21" s="56">
        <v>7.0380951679412087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23.53711431198905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4.58111376863544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0.25171310679070003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0.176577075175606</v>
      </c>
      <c r="C27" s="98">
        <v>0.95</v>
      </c>
      <c r="D27" s="56">
        <v>19.73010065732856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0.96507066955391396</v>
      </c>
      <c r="C29" s="98">
        <v>0.95</v>
      </c>
      <c r="D29" s="56">
        <v>87.366174813676366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2.4513909123146012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7.1143999100000008E-2</v>
      </c>
      <c r="C32" s="98">
        <v>0.95</v>
      </c>
      <c r="D32" s="56">
        <v>0.98014443964829323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0.61718570709999998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3.4726556862575531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0.892642700872609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t1fITYxgk6ky0lS1Jk7SzjwtLYDuET1nCBPreCThp7gbZgV77E2RRv+MXr82Wagh1owgvworAzEWoDmoxlJrpg==" saltValue="IF1a2jsbsqjlYb8jpHQD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2U4fBsCUfA2foRBn9YO9X7+Eal7r0+FEyTxMX+pzy3nx8YGWmuMzTun18E6JkAeE/qk62qumY5+V7LRJilov/Q==" saltValue="KshUzQW0l9k/C5e1cAMNO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tqckN8lj6VFSr71UJriLnYFYcuY0vBDTSwqAHqlbShiJzIdhD00f0fH1CwFLyFo+3tRcCyyxPLDLysxZPtE62w==" saltValue="SWg6pnoGq8wIHs4rrcPCz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8.8649191799999999E-2</v>
      </c>
      <c r="C3" s="21">
        <f>frac_mam_1_5months * 2.6</f>
        <v>8.8649191799999999E-2</v>
      </c>
      <c r="D3" s="21">
        <f>frac_mam_6_11months * 2.6</f>
        <v>5.4077023000000009E-2</v>
      </c>
      <c r="E3" s="21">
        <f>frac_mam_12_23months * 2.6</f>
        <v>2.7900259400000002E-2</v>
      </c>
      <c r="F3" s="21">
        <f>frac_mam_24_59months * 2.6</f>
        <v>2.4484555940000003E-2</v>
      </c>
    </row>
    <row r="4" spans="1:6" ht="15.75" customHeight="1" x14ac:dyDescent="0.2">
      <c r="A4" s="3" t="s">
        <v>207</v>
      </c>
      <c r="B4" s="21">
        <f>frac_sam_1month * 2.6</f>
        <v>4.2762699199999997E-2</v>
      </c>
      <c r="C4" s="21">
        <f>frac_sam_1_5months * 2.6</f>
        <v>4.2762699199999997E-2</v>
      </c>
      <c r="D4" s="21">
        <f>frac_sam_6_11months * 2.6</f>
        <v>2.3834063760000003E-2</v>
      </c>
      <c r="E4" s="21">
        <f>frac_sam_12_23months * 2.6</f>
        <v>2.4217430640000003E-2</v>
      </c>
      <c r="F4" s="21">
        <f>frac_sam_24_59months * 2.6</f>
        <v>1.0756682300000002E-2</v>
      </c>
    </row>
  </sheetData>
  <sheetProtection algorithmName="SHA-512" hashValue="7BhBY6HHjEl7pNdrhw14KJUNnD8yp3nOWetfcW6AaOgwYPWQEp0LcrOyBjTB8oAOG/WsmLKg3DWUIQ52C4/5qA==" saltValue="aMDAFdaNIWROAwPT65mH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9.0000000000000011E-3</v>
      </c>
      <c r="E2" s="60">
        <f>food_insecure</f>
        <v>9.0000000000000011E-3</v>
      </c>
      <c r="F2" s="60">
        <f>food_insecure</f>
        <v>9.0000000000000011E-3</v>
      </c>
      <c r="G2" s="60">
        <f>food_insecure</f>
        <v>9.0000000000000011E-3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9.0000000000000011E-3</v>
      </c>
      <c r="F5" s="60">
        <f>food_insecure</f>
        <v>9.0000000000000011E-3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9.0000000000000011E-3</v>
      </c>
      <c r="F8" s="60">
        <f>food_insecure</f>
        <v>9.0000000000000011E-3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9.0000000000000011E-3</v>
      </c>
      <c r="F9" s="60">
        <f>food_insecure</f>
        <v>9.0000000000000011E-3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0.54400000000000004</v>
      </c>
      <c r="E10" s="60">
        <f>IF(ISBLANK(comm_deliv), frac_children_health_facility,1)</f>
        <v>0.54400000000000004</v>
      </c>
      <c r="F10" s="60">
        <f>IF(ISBLANK(comm_deliv), frac_children_health_facility,1)</f>
        <v>0.54400000000000004</v>
      </c>
      <c r="G10" s="60">
        <f>IF(ISBLANK(comm_deliv), frac_children_health_facility,1)</f>
        <v>0.54400000000000004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9.0000000000000011E-3</v>
      </c>
      <c r="I15" s="60">
        <f>food_insecure</f>
        <v>9.0000000000000011E-3</v>
      </c>
      <c r="J15" s="60">
        <f>food_insecure</f>
        <v>9.0000000000000011E-3</v>
      </c>
      <c r="K15" s="60">
        <f>food_insecure</f>
        <v>9.0000000000000011E-3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0.36899999999999999</v>
      </c>
      <c r="I18" s="60">
        <f>frac_PW_health_facility</f>
        <v>0.36899999999999999</v>
      </c>
      <c r="J18" s="60">
        <f>frac_PW_health_facility</f>
        <v>0.36899999999999999</v>
      </c>
      <c r="K18" s="60">
        <f>frac_PW_health_facility</f>
        <v>0.36899999999999999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0.38700000000000001</v>
      </c>
      <c r="M24" s="60">
        <f>famplan_unmet_need</f>
        <v>0.38700000000000001</v>
      </c>
      <c r="N24" s="60">
        <f>famplan_unmet_need</f>
        <v>0.38700000000000001</v>
      </c>
      <c r="O24" s="60">
        <f>famplan_unmet_need</f>
        <v>0.38700000000000001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0.19767765577011123</v>
      </c>
      <c r="M25" s="60">
        <f>(1-food_insecure)*(0.49)+food_insecure*(0.7)</f>
        <v>0.49188999999999994</v>
      </c>
      <c r="N25" s="60">
        <f>(1-food_insecure)*(0.49)+food_insecure*(0.7)</f>
        <v>0.49188999999999994</v>
      </c>
      <c r="O25" s="60">
        <f>(1-food_insecure)*(0.49)+food_insecure*(0.7)</f>
        <v>0.49188999999999994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8.4718995330047675E-2</v>
      </c>
      <c r="M26" s="60">
        <f>(1-food_insecure)*(0.21)+food_insecure*(0.3)</f>
        <v>0.21081</v>
      </c>
      <c r="N26" s="60">
        <f>(1-food_insecure)*(0.21)+food_insecure*(0.3)</f>
        <v>0.21081</v>
      </c>
      <c r="O26" s="60">
        <f>(1-food_insecure)*(0.21)+food_insecure*(0.3)</f>
        <v>0.21081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0.11947705190277109</v>
      </c>
      <c r="M27" s="60">
        <f>(1-food_insecure)*(0.3)</f>
        <v>0.29730000000000001</v>
      </c>
      <c r="N27" s="60">
        <f>(1-food_insecure)*(0.3)</f>
        <v>0.29730000000000001</v>
      </c>
      <c r="O27" s="60">
        <f>(1-food_insecure)*(0.3)</f>
        <v>0.29730000000000001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0.59812629699706998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GoMkUsHuUB2lG9FhKxZatYRDCClXMvCxSofrW12nnGeIwBQjRh9TTXWldfGs3aZo+cxdxt0kSaBqVKmee/ZAyw==" saltValue="q/G0G8cgAuZS9klM495i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1MnuJuAw24Jizu7MKJ73JgMGAh5TQ7lWsJD7ohzD0tRZHUwnxqPDZguW+9sWPhrkh9f8UqwZd/4+JGoSdhW5Ww==" saltValue="R/FZBvbddyGqh8SmhK1iv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bNhKfnZQ13q60l1AJdusAxmhROXPjvEQbzYKxo5Ku82dyjAJk0lAgAqLTaSgxjzjkDuVLNw01y+4EA3UFd/8w==" saltValue="JEblvKqhZNosr8WgzlIq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8s4KFpUOBEsQscdLQyqokjId5uEaqNi7D12Ht3HgXIeMCt84yZwlLPNmEAju3KEo+At4hlo/S4DoXIhVNrLRqQ==" saltValue="v80KctrHF8g228dFvr3So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MJMoGhR5je3S2QTGUvpPvUif9pdXuCyJw8226LXREyTSI1MyV50EJycfi4wEzxgkJyuBO9k3HSOe3uCwiYRMaA==" saltValue="w1n72E+R+tgBZR1zWqlDF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+s9mQM8Oerrhpo1c69BziwhX7JcK8003OK5XRGpVYFx9AOD/f47gnpTKdFsGpSTUqIkHycExjvpVXms9jiQB+w==" saltValue="MhamiTDd5yRhCm4JwYKn4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156286.95439999999</v>
      </c>
      <c r="C2" s="49">
        <v>348000</v>
      </c>
      <c r="D2" s="49">
        <v>675000</v>
      </c>
      <c r="E2" s="49">
        <v>556000</v>
      </c>
      <c r="F2" s="49">
        <v>397000</v>
      </c>
      <c r="G2" s="17">
        <f t="shared" ref="G2:G11" si="0">C2+D2+E2+F2</f>
        <v>1976000</v>
      </c>
      <c r="H2" s="17">
        <f t="shared" ref="H2:H11" si="1">(B2 + stillbirth*B2/(1000-stillbirth))/(1-abortion)</f>
        <v>178821.05758553054</v>
      </c>
      <c r="I2" s="17">
        <f t="shared" ref="I2:I11" si="2">G2-H2</f>
        <v>1797178.9424144696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155037.00380000001</v>
      </c>
      <c r="C3" s="50">
        <v>351000</v>
      </c>
      <c r="D3" s="50">
        <v>673000</v>
      </c>
      <c r="E3" s="50">
        <v>572000</v>
      </c>
      <c r="F3" s="50">
        <v>409000</v>
      </c>
      <c r="G3" s="17">
        <f t="shared" si="0"/>
        <v>2005000</v>
      </c>
      <c r="H3" s="17">
        <f t="shared" si="1"/>
        <v>177390.88390865669</v>
      </c>
      <c r="I3" s="17">
        <f t="shared" si="2"/>
        <v>1827609.1160913433</v>
      </c>
    </row>
    <row r="4" spans="1:9" ht="15.75" customHeight="1" x14ac:dyDescent="0.2">
      <c r="A4" s="5">
        <f t="shared" si="3"/>
        <v>2023</v>
      </c>
      <c r="B4" s="49">
        <v>153660.72</v>
      </c>
      <c r="C4" s="50">
        <v>355000</v>
      </c>
      <c r="D4" s="50">
        <v>670000</v>
      </c>
      <c r="E4" s="50">
        <v>588000</v>
      </c>
      <c r="F4" s="50">
        <v>422000</v>
      </c>
      <c r="G4" s="17">
        <f t="shared" si="0"/>
        <v>2035000</v>
      </c>
      <c r="H4" s="17">
        <f t="shared" si="1"/>
        <v>175816.16178550399</v>
      </c>
      <c r="I4" s="17">
        <f t="shared" si="2"/>
        <v>1859183.8382144959</v>
      </c>
    </row>
    <row r="5" spans="1:9" ht="15.75" customHeight="1" x14ac:dyDescent="0.2">
      <c r="A5" s="5">
        <f t="shared" si="3"/>
        <v>2024</v>
      </c>
      <c r="B5" s="49">
        <v>152140.61199999999</v>
      </c>
      <c r="C5" s="50">
        <v>359000</v>
      </c>
      <c r="D5" s="50">
        <v>667000</v>
      </c>
      <c r="E5" s="50">
        <v>600000</v>
      </c>
      <c r="F5" s="50">
        <v>434000</v>
      </c>
      <c r="G5" s="17">
        <f t="shared" si="0"/>
        <v>2060000</v>
      </c>
      <c r="H5" s="17">
        <f t="shared" si="1"/>
        <v>174076.87829093597</v>
      </c>
      <c r="I5" s="17">
        <f t="shared" si="2"/>
        <v>1885923.1217090641</v>
      </c>
    </row>
    <row r="6" spans="1:9" ht="15.75" customHeight="1" x14ac:dyDescent="0.2">
      <c r="A6" s="5">
        <f t="shared" si="3"/>
        <v>2025</v>
      </c>
      <c r="B6" s="49">
        <v>150539.9</v>
      </c>
      <c r="C6" s="50">
        <v>362000</v>
      </c>
      <c r="D6" s="50">
        <v>666000</v>
      </c>
      <c r="E6" s="50">
        <v>612000</v>
      </c>
      <c r="F6" s="50">
        <v>448000</v>
      </c>
      <c r="G6" s="17">
        <f t="shared" si="0"/>
        <v>2088000</v>
      </c>
      <c r="H6" s="17">
        <f t="shared" si="1"/>
        <v>172245.36897636295</v>
      </c>
      <c r="I6" s="17">
        <f t="shared" si="2"/>
        <v>1915754.631023637</v>
      </c>
    </row>
    <row r="7" spans="1:9" ht="15.75" customHeight="1" x14ac:dyDescent="0.2">
      <c r="A7" s="5">
        <f t="shared" si="3"/>
        <v>2026</v>
      </c>
      <c r="B7" s="49">
        <v>149347.101</v>
      </c>
      <c r="C7" s="50">
        <v>364000</v>
      </c>
      <c r="D7" s="50">
        <v>666000</v>
      </c>
      <c r="E7" s="50">
        <v>622000</v>
      </c>
      <c r="F7" s="50">
        <v>463000</v>
      </c>
      <c r="G7" s="17">
        <f t="shared" si="0"/>
        <v>2115000</v>
      </c>
      <c r="H7" s="17">
        <f t="shared" si="1"/>
        <v>170880.58725490814</v>
      </c>
      <c r="I7" s="17">
        <f t="shared" si="2"/>
        <v>1944119.4127450918</v>
      </c>
    </row>
    <row r="8" spans="1:9" ht="15.75" customHeight="1" x14ac:dyDescent="0.2">
      <c r="A8" s="5">
        <f t="shared" si="3"/>
        <v>2027</v>
      </c>
      <c r="B8" s="49">
        <v>148069.728</v>
      </c>
      <c r="C8" s="50">
        <v>364000</v>
      </c>
      <c r="D8" s="50">
        <v>668000</v>
      </c>
      <c r="E8" s="50">
        <v>630000</v>
      </c>
      <c r="F8" s="50">
        <v>478000</v>
      </c>
      <c r="G8" s="17">
        <f t="shared" si="0"/>
        <v>2140000</v>
      </c>
      <c r="H8" s="17">
        <f t="shared" si="1"/>
        <v>169419.03730233447</v>
      </c>
      <c r="I8" s="17">
        <f t="shared" si="2"/>
        <v>1970580.9626976654</v>
      </c>
    </row>
    <row r="9" spans="1:9" ht="15.75" customHeight="1" x14ac:dyDescent="0.2">
      <c r="A9" s="5">
        <f t="shared" si="3"/>
        <v>2028</v>
      </c>
      <c r="B9" s="49">
        <v>146690.31299999999</v>
      </c>
      <c r="C9" s="50">
        <v>364000</v>
      </c>
      <c r="D9" s="50">
        <v>670000</v>
      </c>
      <c r="E9" s="50">
        <v>636000</v>
      </c>
      <c r="F9" s="50">
        <v>493000</v>
      </c>
      <c r="G9" s="17">
        <f t="shared" si="0"/>
        <v>2163000</v>
      </c>
      <c r="H9" s="17">
        <f t="shared" si="1"/>
        <v>167840.73250974106</v>
      </c>
      <c r="I9" s="17">
        <f t="shared" si="2"/>
        <v>1995159.2674902589</v>
      </c>
    </row>
    <row r="10" spans="1:9" ht="15.75" customHeight="1" x14ac:dyDescent="0.2">
      <c r="A10" s="5">
        <f t="shared" si="3"/>
        <v>2029</v>
      </c>
      <c r="B10" s="49">
        <v>145211.11799999999</v>
      </c>
      <c r="C10" s="50">
        <v>364000</v>
      </c>
      <c r="D10" s="50">
        <v>673000</v>
      </c>
      <c r="E10" s="50">
        <v>640000</v>
      </c>
      <c r="F10" s="50">
        <v>508000</v>
      </c>
      <c r="G10" s="17">
        <f t="shared" si="0"/>
        <v>2185000</v>
      </c>
      <c r="H10" s="17">
        <f t="shared" si="1"/>
        <v>166148.26102169708</v>
      </c>
      <c r="I10" s="17">
        <f t="shared" si="2"/>
        <v>2018851.738978303</v>
      </c>
    </row>
    <row r="11" spans="1:9" ht="15.75" customHeight="1" x14ac:dyDescent="0.2">
      <c r="A11" s="5">
        <f t="shared" si="3"/>
        <v>2030</v>
      </c>
      <c r="B11" s="49">
        <v>143634.405</v>
      </c>
      <c r="C11" s="50">
        <v>364000</v>
      </c>
      <c r="D11" s="50">
        <v>677000</v>
      </c>
      <c r="E11" s="50">
        <v>642000</v>
      </c>
      <c r="F11" s="50">
        <v>524000</v>
      </c>
      <c r="G11" s="17">
        <f t="shared" si="0"/>
        <v>2207000</v>
      </c>
      <c r="H11" s="17">
        <f t="shared" si="1"/>
        <v>164344.21098277168</v>
      </c>
      <c r="I11" s="17">
        <f t="shared" si="2"/>
        <v>2042655.7890172284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SKStVjzWv7Kx0Q8fDx17lIuKYE1PFWMOsAQrN5I2KiEVuXn6LAvfLiBB9vpHWtNflxk6tNtQCn3ZAaI6iJM+sw==" saltValue="Op4OaNdSMEKTqH0mC4BgT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y5hISVTSRfGO2NG8WWIT01t7zkUm0lPOlqNEw/BULqPbI5OBewM5XWpcwpcZgh2jB8cctLFPn5N9SlrX2Q5LpA==" saltValue="0z8zamllXThuubB9ytCh3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4AITQ/JHU6qfkcyo56ENAOikGPLud2CWG5+JZla6qhcpZREPMAgPxMpFe4jZpg/0EG2TIw9FQj4LhTT6YYjAHQ==" saltValue="R5nDRMWzzInBKbdFRjyZ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6Y7IEIG6Ek0dxtEgpyy8lja6lBAVQ0PXtbygVTKUodFrUKJKzcu1SEGuFZOPq69Uv1+j3aYmIVBPg57YaSjd5Q==" saltValue="qDX5S4fiBLiZtonXnOPp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yHUMfgquZX+SEQ0xckJdlXzg6Vjl2+OBWb6wFKb7Rg0kvrFTJlsnYIgM2LMSML9rtdtQADbvtvhymUhKlTp79g==" saltValue="0ptJw8pOFn9qOtfxYngVe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ULByFovijtSPCz5reen6C5dEIauQw4X8nL29S1qNntwkQPLykBvjEVDKOiK+Cbl0f8ZQKIOfCEnU1eYiBbr0hw==" saltValue="jpaQjoW2aAkNGRrCUfHh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TvqenD6mEHJcIfk0tu3VOKBKyPWPYGShv5Y1D0izHgcUNfrGlO4I1GNjvRrB/Ajr7FyR7e6S4thrDtN0mA5EMA==" saltValue="2rvWFS5GOOUNnSWQpAsO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QY0w+dXL+KDxOgWEkhTVME7A80XLaIaGOAvA02xI/DNUp9kvbMnZfDoi9IBaGZUXIzpykQP2D+tpCTartwk2EQ==" saltValue="vN4N6EHlNdNhYa3RBL2z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w0hC7KTLsdjXZLI+S3aCXsQdEne7Boilua3o224akrBaazDrjc4JQAEjxYHMfh6iwsr9+2bCohPtBO0zEInp2A==" saltValue="b058SePsWoomm/KVWRPa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Z4LgK1wpzkpDZ9R1q1bUAspDr4qupKRyy4j/p1CM8Jt7H6Wl3Efi/2RGWBT7WWnDWSQSi95+nqhmT071OxDFkQ==" saltValue="rMYkXp8vH45pxENZviEF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7.663297009602181E-2</v>
      </c>
    </row>
    <row r="5" spans="1:8" ht="15.75" customHeight="1" x14ac:dyDescent="0.2">
      <c r="B5" s="19" t="s">
        <v>95</v>
      </c>
      <c r="C5" s="101">
        <v>3.8092956289079848E-2</v>
      </c>
    </row>
    <row r="6" spans="1:8" ht="15.75" customHeight="1" x14ac:dyDescent="0.2">
      <c r="B6" s="19" t="s">
        <v>91</v>
      </c>
      <c r="C6" s="101">
        <v>0.25007799537184888</v>
      </c>
    </row>
    <row r="7" spans="1:8" ht="15.75" customHeight="1" x14ac:dyDescent="0.2">
      <c r="B7" s="19" t="s">
        <v>96</v>
      </c>
      <c r="C7" s="101">
        <v>0.47414589933038431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0.14158262098607469</v>
      </c>
    </row>
    <row r="10" spans="1:8" ht="15.75" customHeight="1" x14ac:dyDescent="0.2">
      <c r="B10" s="19" t="s">
        <v>94</v>
      </c>
      <c r="C10" s="101">
        <v>1.9467557926590381E-2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8.0492956129596754E-2</v>
      </c>
      <c r="D14" s="55">
        <v>8.0492956129596754E-2</v>
      </c>
      <c r="E14" s="55">
        <v>8.0492956129596754E-2</v>
      </c>
      <c r="F14" s="55">
        <v>8.0492956129596754E-2</v>
      </c>
    </row>
    <row r="15" spans="1:8" ht="15.75" customHeight="1" x14ac:dyDescent="0.2">
      <c r="B15" s="19" t="s">
        <v>102</v>
      </c>
      <c r="C15" s="101">
        <v>0.38469936037875541</v>
      </c>
      <c r="D15" s="101">
        <v>0.38469936037875541</v>
      </c>
      <c r="E15" s="101">
        <v>0.38469936037875541</v>
      </c>
      <c r="F15" s="101">
        <v>0.38469936037875541</v>
      </c>
    </row>
    <row r="16" spans="1:8" ht="15.75" customHeight="1" x14ac:dyDescent="0.2">
      <c r="B16" s="19" t="s">
        <v>2</v>
      </c>
      <c r="C16" s="101">
        <v>2.8526052315017768E-2</v>
      </c>
      <c r="D16" s="101">
        <v>2.8526052315017768E-2</v>
      </c>
      <c r="E16" s="101">
        <v>2.8526052315017768E-2</v>
      </c>
      <c r="F16" s="101">
        <v>2.8526052315017768E-2</v>
      </c>
    </row>
    <row r="17" spans="1:8" ht="15.75" customHeight="1" x14ac:dyDescent="0.2">
      <c r="B17" s="19" t="s">
        <v>90</v>
      </c>
      <c r="C17" s="101">
        <v>9.4542184328871165E-4</v>
      </c>
      <c r="D17" s="101">
        <v>9.4542184328871165E-4</v>
      </c>
      <c r="E17" s="101">
        <v>9.4542184328871165E-4</v>
      </c>
      <c r="F17" s="101">
        <v>9.4542184328871165E-4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2.3027212603509099E-3</v>
      </c>
      <c r="D19" s="101">
        <v>2.3027212603509099E-3</v>
      </c>
      <c r="E19" s="101">
        <v>2.3027212603509099E-3</v>
      </c>
      <c r="F19" s="101">
        <v>2.3027212603509099E-3</v>
      </c>
    </row>
    <row r="20" spans="1:8" ht="15.75" customHeight="1" x14ac:dyDescent="0.2">
      <c r="B20" s="19" t="s">
        <v>79</v>
      </c>
      <c r="C20" s="101">
        <v>1.1899019892305769E-2</v>
      </c>
      <c r="D20" s="101">
        <v>1.1899019892305769E-2</v>
      </c>
      <c r="E20" s="101">
        <v>1.1899019892305769E-2</v>
      </c>
      <c r="F20" s="101">
        <v>1.1899019892305769E-2</v>
      </c>
    </row>
    <row r="21" spans="1:8" ht="15.75" customHeight="1" x14ac:dyDescent="0.2">
      <c r="B21" s="19" t="s">
        <v>88</v>
      </c>
      <c r="C21" s="101">
        <v>0.14829440870862939</v>
      </c>
      <c r="D21" s="101">
        <v>0.14829440870862939</v>
      </c>
      <c r="E21" s="101">
        <v>0.14829440870862939</v>
      </c>
      <c r="F21" s="101">
        <v>0.14829440870862939</v>
      </c>
    </row>
    <row r="22" spans="1:8" ht="15.75" customHeight="1" x14ac:dyDescent="0.2">
      <c r="B22" s="19" t="s">
        <v>99</v>
      </c>
      <c r="C22" s="101">
        <v>0.3428400594720552</v>
      </c>
      <c r="D22" s="101">
        <v>0.3428400594720552</v>
      </c>
      <c r="E22" s="101">
        <v>0.3428400594720552</v>
      </c>
      <c r="F22" s="101">
        <v>0.3428400594720552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8.6989028999999995E-2</v>
      </c>
    </row>
    <row r="27" spans="1:8" ht="15.75" customHeight="1" x14ac:dyDescent="0.2">
      <c r="B27" s="19" t="s">
        <v>89</v>
      </c>
      <c r="C27" s="101">
        <v>5.4674084999999983E-2</v>
      </c>
    </row>
    <row r="28" spans="1:8" ht="15.75" customHeight="1" x14ac:dyDescent="0.2">
      <c r="B28" s="19" t="s">
        <v>103</v>
      </c>
      <c r="C28" s="101">
        <v>7.8007822000000004E-2</v>
      </c>
    </row>
    <row r="29" spans="1:8" ht="15.75" customHeight="1" x14ac:dyDescent="0.2">
      <c r="B29" s="19" t="s">
        <v>86</v>
      </c>
      <c r="C29" s="101">
        <v>0.25304623700000001</v>
      </c>
    </row>
    <row r="30" spans="1:8" ht="15.75" customHeight="1" x14ac:dyDescent="0.2">
      <c r="B30" s="19" t="s">
        <v>4</v>
      </c>
      <c r="C30" s="101">
        <v>6.4168437999999994E-2</v>
      </c>
    </row>
    <row r="31" spans="1:8" ht="15.75" customHeight="1" x14ac:dyDescent="0.2">
      <c r="B31" s="19" t="s">
        <v>80</v>
      </c>
      <c r="C31" s="101">
        <v>3.8459681000000003E-2</v>
      </c>
    </row>
    <row r="32" spans="1:8" ht="15.75" customHeight="1" x14ac:dyDescent="0.2">
      <c r="B32" s="19" t="s">
        <v>85</v>
      </c>
      <c r="C32" s="101">
        <v>7.8795084000000001E-2</v>
      </c>
    </row>
    <row r="33" spans="2:3" ht="15.75" customHeight="1" x14ac:dyDescent="0.2">
      <c r="B33" s="19" t="s">
        <v>100</v>
      </c>
      <c r="C33" s="101">
        <v>6.8855599000000017E-2</v>
      </c>
    </row>
    <row r="34" spans="2:3" ht="15.75" customHeight="1" x14ac:dyDescent="0.2">
      <c r="B34" s="19" t="s">
        <v>87</v>
      </c>
      <c r="C34" s="101">
        <v>0.27700402600000001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oOnUj89vvTRmqlYNmlr3oZKy02kwof3wbntyKvGv8fwYEt1DSZFF7mMvM88HkKKNdBZxYtsnTeHrA43ZjhdIlw==" saltValue="D98I7B7JnHX6OzZ9urKwo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0.72671792628404508</v>
      </c>
      <c r="D2" s="52">
        <f>IFERROR(1-_xlfn.NORM.DIST(_xlfn.NORM.INV(SUM(D4:D5), 0, 1) + 1, 0, 1, TRUE), "")</f>
        <v>0.72671792628404508</v>
      </c>
      <c r="E2" s="52">
        <f>IFERROR(1-_xlfn.NORM.DIST(_xlfn.NORM.INV(SUM(E4:E5), 0, 1) + 1, 0, 1, TRUE), "")</f>
        <v>0.62659136286067285</v>
      </c>
      <c r="F2" s="52">
        <f>IFERROR(1-_xlfn.NORM.DIST(_xlfn.NORM.INV(SUM(F4:F5), 0, 1) + 1, 0, 1, TRUE), "")</f>
        <v>0.51965403947390543</v>
      </c>
      <c r="G2" s="52">
        <f>IFERROR(1-_xlfn.NORM.DIST(_xlfn.NORM.INV(SUM(G4:G5), 0, 1) + 1, 0, 1, TRUE), "")</f>
        <v>0.56275776040323966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0.21880554371595493</v>
      </c>
      <c r="D3" s="52">
        <f>IFERROR(_xlfn.NORM.DIST(_xlfn.NORM.INV(SUM(D4:D5), 0, 1) + 1, 0, 1, TRUE) - SUM(D4:D5), "")</f>
        <v>0.21880554371595493</v>
      </c>
      <c r="E3" s="52">
        <f>IFERROR(_xlfn.NORM.DIST(_xlfn.NORM.INV(SUM(E4:E5), 0, 1) + 1, 0, 1, TRUE) - SUM(E4:E5), "")</f>
        <v>0.28046415313932715</v>
      </c>
      <c r="F3" s="52">
        <f>IFERROR(_xlfn.NORM.DIST(_xlfn.NORM.INV(SUM(F4:F5), 0, 1) + 1, 0, 1, TRUE) - SUM(F4:F5), "")</f>
        <v>0.33332254952609458</v>
      </c>
      <c r="G3" s="52">
        <f>IFERROR(_xlfn.NORM.DIST(_xlfn.NORM.INV(SUM(G4:G5), 0, 1) + 1, 0, 1, TRUE) - SUM(G4:G5), "")</f>
        <v>0.31380305359676042</v>
      </c>
    </row>
    <row r="4" spans="1:15" ht="15.75" customHeight="1" x14ac:dyDescent="0.2">
      <c r="B4" s="5" t="s">
        <v>110</v>
      </c>
      <c r="C4" s="45">
        <v>3.5780458000000001E-2</v>
      </c>
      <c r="D4" s="53">
        <v>3.5780458000000001E-2</v>
      </c>
      <c r="E4" s="53">
        <v>3.1043935000000002E-2</v>
      </c>
      <c r="F4" s="53">
        <v>0.11139776</v>
      </c>
      <c r="G4" s="53">
        <v>9.334521300000001E-2</v>
      </c>
    </row>
    <row r="5" spans="1:15" ht="15.75" customHeight="1" x14ac:dyDescent="0.2">
      <c r="B5" s="5" t="s">
        <v>106</v>
      </c>
      <c r="C5" s="45">
        <v>1.8696072000000001E-2</v>
      </c>
      <c r="D5" s="53">
        <v>1.8696072000000001E-2</v>
      </c>
      <c r="E5" s="53">
        <v>6.1900548999999999E-2</v>
      </c>
      <c r="F5" s="53">
        <v>3.5625651000000001E-2</v>
      </c>
      <c r="G5" s="53">
        <v>3.0093973E-2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0.73878724235456128</v>
      </c>
      <c r="D8" s="52">
        <f>IFERROR(1-_xlfn.NORM.DIST(_xlfn.NORM.INV(SUM(D10:D11), 0, 1) + 1, 0, 1, TRUE), "")</f>
        <v>0.73878724235456128</v>
      </c>
      <c r="E8" s="52">
        <f>IFERROR(1-_xlfn.NORM.DIST(_xlfn.NORM.INV(SUM(E10:E11), 0, 1) + 1, 0, 1, TRUE), "")</f>
        <v>0.8109213034353947</v>
      </c>
      <c r="F8" s="52">
        <f>IFERROR(1-_xlfn.NORM.DIST(_xlfn.NORM.INV(SUM(F10:F11), 0, 1) + 1, 0, 1, TRUE), "")</f>
        <v>0.85378708761415101</v>
      </c>
      <c r="G8" s="52">
        <f>IFERROR(1-_xlfn.NORM.DIST(_xlfn.NORM.INV(SUM(G10:G11), 0, 1) + 1, 0, 1, TRUE), "")</f>
        <v>0.88685092647358732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0.21066972264543871</v>
      </c>
      <c r="D9" s="52">
        <f>IFERROR(_xlfn.NORM.DIST(_xlfn.NORM.INV(SUM(D10:D11), 0, 1) + 1, 0, 1, TRUE) - SUM(D10:D11), "")</f>
        <v>0.21066972264543871</v>
      </c>
      <c r="E9" s="52">
        <f>IFERROR(_xlfn.NORM.DIST(_xlfn.NORM.INV(SUM(E10:E11), 0, 1) + 1, 0, 1, TRUE) - SUM(E10:E11), "")</f>
        <v>0.15911289396460529</v>
      </c>
      <c r="F9" s="52">
        <f>IFERROR(_xlfn.NORM.DIST(_xlfn.NORM.INV(SUM(F10:F11), 0, 1) + 1, 0, 1, TRUE) - SUM(F10:F11), "")</f>
        <v>0.12616764698584898</v>
      </c>
      <c r="G9" s="52">
        <f>IFERROR(_xlfn.NORM.DIST(_xlfn.NORM.INV(SUM(G10:G11), 0, 1) + 1, 0, 1, TRUE) - SUM(G10:G11), "")</f>
        <v>9.9594751126412723E-2</v>
      </c>
    </row>
    <row r="10" spans="1:15" ht="15.75" customHeight="1" x14ac:dyDescent="0.2">
      <c r="B10" s="5" t="s">
        <v>107</v>
      </c>
      <c r="C10" s="45">
        <v>3.4095843000000001E-2</v>
      </c>
      <c r="D10" s="53">
        <v>3.4095843000000001E-2</v>
      </c>
      <c r="E10" s="53">
        <v>2.0798855000000002E-2</v>
      </c>
      <c r="F10" s="53">
        <v>1.0730869000000001E-2</v>
      </c>
      <c r="G10" s="53">
        <v>9.4171369000000012E-3</v>
      </c>
    </row>
    <row r="11" spans="1:15" ht="15.75" customHeight="1" x14ac:dyDescent="0.2">
      <c r="B11" s="5" t="s">
        <v>119</v>
      </c>
      <c r="C11" s="45">
        <v>1.6447191999999999E-2</v>
      </c>
      <c r="D11" s="53">
        <v>1.6447191999999999E-2</v>
      </c>
      <c r="E11" s="53">
        <v>9.166947600000001E-3</v>
      </c>
      <c r="F11" s="53">
        <v>9.314396400000001E-3</v>
      </c>
      <c r="G11" s="53">
        <v>4.1371855000000004E-3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0.50327564699999994</v>
      </c>
      <c r="D14" s="54">
        <v>0.51439987297800005</v>
      </c>
      <c r="E14" s="54">
        <v>0.51439987297800005</v>
      </c>
      <c r="F14" s="54">
        <v>0.32239856251900001</v>
      </c>
      <c r="G14" s="54">
        <v>0.32239856251900001</v>
      </c>
      <c r="H14" s="45">
        <v>0.39800000000000002</v>
      </c>
      <c r="I14" s="55">
        <v>0.39800000000000002</v>
      </c>
      <c r="J14" s="55">
        <v>0.39800000000000002</v>
      </c>
      <c r="K14" s="55">
        <v>0.39800000000000002</v>
      </c>
      <c r="L14" s="45">
        <v>0.35899999999999999</v>
      </c>
      <c r="M14" s="55">
        <v>0.35899999999999999</v>
      </c>
      <c r="N14" s="55">
        <v>0.35899999999999999</v>
      </c>
      <c r="O14" s="55">
        <v>0.35899999999999999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0.29642482660217701</v>
      </c>
      <c r="D15" s="52">
        <f t="shared" si="0"/>
        <v>0.30297689558518526</v>
      </c>
      <c r="E15" s="52">
        <f t="shared" si="0"/>
        <v>0.30297689558518526</v>
      </c>
      <c r="F15" s="52">
        <f t="shared" si="0"/>
        <v>0.18988985173662834</v>
      </c>
      <c r="G15" s="52">
        <f t="shared" si="0"/>
        <v>0.18988985173662834</v>
      </c>
      <c r="H15" s="52">
        <f t="shared" si="0"/>
        <v>0.23441841800000002</v>
      </c>
      <c r="I15" s="52">
        <f t="shared" si="0"/>
        <v>0.23441841800000002</v>
      </c>
      <c r="J15" s="52">
        <f t="shared" si="0"/>
        <v>0.23441841800000002</v>
      </c>
      <c r="K15" s="52">
        <f t="shared" si="0"/>
        <v>0.23441841800000002</v>
      </c>
      <c r="L15" s="52">
        <f t="shared" si="0"/>
        <v>0.21144776900000001</v>
      </c>
      <c r="M15" s="52">
        <f t="shared" si="0"/>
        <v>0.21144776900000001</v>
      </c>
      <c r="N15" s="52">
        <f t="shared" si="0"/>
        <v>0.21144776900000001</v>
      </c>
      <c r="O15" s="52">
        <f t="shared" si="0"/>
        <v>0.21144776900000001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K6e7QXXXuGiCJ302RQF+zLLJ6UpLFZqtls5rDXajDS9cqYZq2IJOeHAfglfFPLnlUBb1frho0c6D/xV8ztf2rA==" saltValue="7xE7qhrXpzxmZ9IlUwMJ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0.70550790000000008</v>
      </c>
      <c r="D2" s="53">
        <v>0.41442689999999999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0.14739630000000001</v>
      </c>
      <c r="D3" s="53">
        <v>0.24610799999999999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0.1441006</v>
      </c>
      <c r="D4" s="53">
        <v>0.319693</v>
      </c>
      <c r="E4" s="53">
        <v>0.8713654279708859</v>
      </c>
      <c r="F4" s="53">
        <v>0.39406397938728299</v>
      </c>
      <c r="G4" s="53">
        <v>0</v>
      </c>
    </row>
    <row r="5" spans="1:7" x14ac:dyDescent="0.2">
      <c r="B5" s="3" t="s">
        <v>125</v>
      </c>
      <c r="C5" s="52">
        <v>2.9952400000000001E-3</v>
      </c>
      <c r="D5" s="52">
        <v>1.9772100000000001E-2</v>
      </c>
      <c r="E5" s="52">
        <f>1-SUM(E2:E4)</f>
        <v>0.1286345720291141</v>
      </c>
      <c r="F5" s="52">
        <f>1-SUM(F2:F4)</f>
        <v>0.60593602061271701</v>
      </c>
      <c r="G5" s="52">
        <f>1-SUM(G2:G4)</f>
        <v>1</v>
      </c>
    </row>
  </sheetData>
  <sheetProtection algorithmName="SHA-512" hashValue="vGSVx9RMNy5NTKn/YapQsGlDnHeKGKZlGZtJRxPGhoLMK/vCE75cpGDROSNRgXoUoaOS5PjQKtC1iRNJjheXyQ==" saltValue="jboE7prxorVgWWE5ilSCW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0rfB7su6pOCa9ZNtAHkycPNnVKBIswp1Te++GZHuMUj1w+1kHR70MzLOlOlXhx4cRiF6nSIdBbS5LOsVBhs0cA==" saltValue="tvLtIp0W+/iUHkxw9f6KD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NURCXowQTDC/rNN6yPvL66kBleYyjpBNDfos9sp8hRkAVboXrcL4csJX2/AEG0fbmGs18a3eSbXvGEArh+JwfQ==" saltValue="ITo7bAFmH1iLG6innK5XD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s84U2p2WLRXmIkbsh1AljqVcVK6JzOwPInnLRdL55Q/3UIbYUMGB6KD0aG4QZAi3uqM6LzDJbxVT9v4RSvw1wA==" saltValue="5fxeFBfXFpfz+HcmpJp2Z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NUaOQ7nkK5eEYUVCezjcuDsi8TL6VNaOf+pnM0kZenJ8ERcmlGeUc8w3XkrqAxSdBTL/hpLUu1gyEVxTBh0ZaA==" saltValue="m12joH+WIwUsrbPruZBsw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2023-01-25T11:38:10Z</dcterms:modified>
</cp:coreProperties>
</file>