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602876B8-6E58-4DAB-AD20-CE429FD56AAC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G39" i="2"/>
  <c r="I39" i="2" s="1"/>
  <c r="H38" i="2"/>
  <c r="G38" i="2"/>
  <c r="I38" i="2" s="1"/>
  <c r="A18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H2" i="2"/>
  <c r="I2" i="2" s="1"/>
  <c r="G2" i="2"/>
  <c r="A2" i="2"/>
  <c r="A40" i="2" s="1"/>
  <c r="C33" i="1"/>
  <c r="C20" i="1"/>
  <c r="A26" i="2" l="1"/>
  <c r="A27" i="2"/>
  <c r="A35" i="2"/>
  <c r="A19" i="2"/>
  <c r="A34" i="2"/>
  <c r="A39" i="2"/>
  <c r="A14" i="2"/>
  <c r="A38" i="2"/>
  <c r="A15" i="2"/>
  <c r="A23" i="2"/>
  <c r="A31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A30" i="2"/>
  <c r="A17" i="2"/>
  <c r="A25" i="2"/>
  <c r="A33" i="2"/>
  <c r="A36" i="2"/>
  <c r="A12" i="2"/>
  <c r="A20" i="2"/>
  <c r="A28" i="2"/>
  <c r="A13" i="2"/>
  <c r="A21" i="2"/>
  <c r="A29" i="2"/>
  <c r="A37" i="2"/>
  <c r="D58" i="20"/>
  <c r="A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<sst xmlns="http://schemas.openxmlformats.org/spreadsheetml/2006/main" count="2092" uniqueCount="341">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</sst>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3641964.96875</v>
      </c>
    </row>
    <row r="8" spans="1:3" ht="15" customHeight="1" x14ac:dyDescent="0.2">
      <c r="B8" s="5" t="s">
        <v>44</v>
      </c>
      <c r="C8" s="44">
        <v>0.49700000000000011</v>
      </c>
    </row>
    <row r="9" spans="1:3" ht="15" customHeight="1" x14ac:dyDescent="0.2">
      <c r="B9" s="5" t="s">
        <v>43</v>
      </c>
      <c r="C9" s="45">
        <v>0.9</v>
      </c>
    </row>
    <row r="10" spans="1:3" ht="15" customHeight="1" x14ac:dyDescent="0.2">
      <c r="B10" s="5" t="s">
        <v>56</v>
      </c>
      <c r="C10" s="45">
        <v>0.26102539062500002</v>
      </c>
    </row>
    <row r="11" spans="1:3" ht="15" customHeight="1" x14ac:dyDescent="0.2">
      <c r="B11" s="5" t="s">
        <v>49</v>
      </c>
      <c r="C11" s="45">
        <v>0.38</v>
      </c>
    </row>
    <row r="12" spans="1:3" ht="15" customHeight="1" x14ac:dyDescent="0.2">
      <c r="B12" s="5" t="s">
        <v>41</v>
      </c>
      <c r="C12" s="45">
        <v>0.23</v>
      </c>
    </row>
    <row r="13" spans="1:3" ht="15" customHeight="1" x14ac:dyDescent="0.2">
      <c r="B13" s="5" t="s">
        <v>62</v>
      </c>
      <c r="C13" s="45">
        <v>0.54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0.14249999999999999</v>
      </c>
    </row>
    <row r="24" spans="1:3" ht="15" customHeight="1" x14ac:dyDescent="0.2">
      <c r="B24" s="15" t="s">
        <v>46</v>
      </c>
      <c r="C24" s="45">
        <v>0.43409999999999999</v>
      </c>
    </row>
    <row r="25" spans="1:3" ht="15" customHeight="1" x14ac:dyDescent="0.2">
      <c r="B25" s="15" t="s">
        <v>47</v>
      </c>
      <c r="C25" s="45">
        <v>0.32079999999999997</v>
      </c>
    </row>
    <row r="26" spans="1:3" ht="15" customHeight="1" x14ac:dyDescent="0.2">
      <c r="B26" s="15" t="s">
        <v>48</v>
      </c>
      <c r="C26" s="45">
        <v>0.1026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0.18043927899819601</v>
      </c>
    </row>
    <row r="30" spans="1:3" ht="14.25" customHeight="1" x14ac:dyDescent="0.2">
      <c r="B30" s="25" t="s">
        <v>63</v>
      </c>
      <c r="C30" s="99">
        <v>6.8099937209319006E-2</v>
      </c>
    </row>
    <row r="31" spans="1:3" ht="14.25" customHeight="1" x14ac:dyDescent="0.2">
      <c r="B31" s="25" t="s">
        <v>10</v>
      </c>
      <c r="C31" s="99">
        <v>0.105835766198942</v>
      </c>
    </row>
    <row r="32" spans="1:3" ht="14.25" customHeight="1" x14ac:dyDescent="0.2">
      <c r="B32" s="25" t="s">
        <v>11</v>
      </c>
      <c r="C32" s="99">
        <v>0.64562501759354407</v>
      </c>
    </row>
    <row r="33" spans="1:5" ht="13.15" customHeight="1" x14ac:dyDescent="0.2">
      <c r="B33" s="27" t="s">
        <v>60</v>
      </c>
      <c r="C33" s="48">
        <f>SUM(C29:C32)</f>
        <v>1.0000000000000011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32.134367036030604</v>
      </c>
    </row>
    <row r="38" spans="1:5" ht="15" customHeight="1" x14ac:dyDescent="0.2">
      <c r="B38" s="11" t="s">
        <v>35</v>
      </c>
      <c r="C38" s="43">
        <v>60.209543884433501</v>
      </c>
      <c r="D38" s="12"/>
      <c r="E38" s="13"/>
    </row>
    <row r="39" spans="1:5" ht="15" customHeight="1" x14ac:dyDescent="0.2">
      <c r="B39" s="11" t="s">
        <v>61</v>
      </c>
      <c r="C39" s="43">
        <v>94.035418306663303</v>
      </c>
      <c r="D39" s="12"/>
      <c r="E39" s="12"/>
    </row>
    <row r="40" spans="1:5" ht="15" customHeight="1" x14ac:dyDescent="0.2">
      <c r="B40" s="11" t="s">
        <v>36</v>
      </c>
      <c r="C40" s="100">
        <v>5.62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19.70362102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1.8574299999999998E-2</v>
      </c>
      <c r="D45" s="12"/>
    </row>
    <row r="46" spans="1:5" ht="15.75" customHeight="1" x14ac:dyDescent="0.2">
      <c r="B46" s="11" t="s">
        <v>51</v>
      </c>
      <c r="C46" s="45">
        <v>9.7151500000000002E-2</v>
      </c>
      <c r="D46" s="12"/>
    </row>
    <row r="47" spans="1:5" ht="15.75" customHeight="1" x14ac:dyDescent="0.2">
      <c r="B47" s="11" t="s">
        <v>59</v>
      </c>
      <c r="C47" s="45">
        <v>0.33340730000000002</v>
      </c>
      <c r="D47" s="12"/>
      <c r="E47" s="13"/>
    </row>
    <row r="48" spans="1:5" ht="15" customHeight="1" x14ac:dyDescent="0.2">
      <c r="B48" s="11" t="s">
        <v>58</v>
      </c>
      <c r="C48" s="46">
        <v>0.55086689999999994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3.3</v>
      </c>
      <c r="D51" s="12"/>
    </row>
    <row r="52" spans="1:4" ht="15" customHeight="1" x14ac:dyDescent="0.2">
      <c r="B52" s="11" t="s">
        <v>13</v>
      </c>
      <c r="C52" s="100">
        <v>3.3</v>
      </c>
    </row>
    <row r="53" spans="1:4" ht="15.75" customHeight="1" x14ac:dyDescent="0.2">
      <c r="B53" s="11" t="s">
        <v>16</v>
      </c>
      <c r="C53" s="100">
        <v>3.3</v>
      </c>
    </row>
    <row r="54" spans="1:4" ht="15.75" customHeight="1" x14ac:dyDescent="0.2">
      <c r="B54" s="11" t="s">
        <v>14</v>
      </c>
      <c r="C54" s="100">
        <v>3.3</v>
      </c>
    </row>
    <row r="55" spans="1:4" ht="15.75" customHeight="1" x14ac:dyDescent="0.2">
      <c r="B55" s="11" t="s">
        <v>15</v>
      </c>
      <c r="C55" s="100">
        <v>3.3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2.181818181818182E-2</v>
      </c>
    </row>
    <row r="59" spans="1:4" ht="15.75" customHeight="1" x14ac:dyDescent="0.2">
      <c r="B59" s="11" t="s">
        <v>40</v>
      </c>
      <c r="C59" s="45">
        <v>0.40586299999999997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EM4HSqgGrZxHUi0yQQFCimqGer0d8I8TPp74RTCMwLJlhj3dQdStGLAuezz9rHydgpPbJWLObPzixCWBJCYtTQ==" saltValue="FrDoS+4LP5nZ6CKGZbJiQ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838369.2324000001</v>
      </c>
      <c r="C2" s="49">
        <v>1155000</v>
      </c>
      <c r="D2" s="49">
        <v>1654000</v>
      </c>
      <c r="E2" s="49">
        <v>1113000</v>
      </c>
      <c r="F2" s="49">
        <v>782000</v>
      </c>
      <c r="G2" s="17">
        <f t="shared" ref="G2:G11" si="0">C2+D2+E2+F2</f>
        <v>4704000</v>
      </c>
      <c r="H2" s="17">
        <f t="shared" ref="H2:H11" si="1">(B2 + stillbirth*B2/(1000-stillbirth))/(1-abortion)</f>
        <v>971841.09823677258</v>
      </c>
      <c r="I2" s="17">
        <f t="shared" ref="I2:I11" si="2">G2-H2</f>
        <v>3732158.9017632273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854115.37900000007</v>
      </c>
      <c r="C3" s="50">
        <v>1201000</v>
      </c>
      <c r="D3" s="50">
        <v>1717000</v>
      </c>
      <c r="E3" s="50">
        <v>1144000</v>
      </c>
      <c r="F3" s="50">
        <v>808000</v>
      </c>
      <c r="G3" s="17">
        <f t="shared" si="0"/>
        <v>4870000</v>
      </c>
      <c r="H3" s="17">
        <f t="shared" si="1"/>
        <v>990094.09681227384</v>
      </c>
      <c r="I3" s="17">
        <f t="shared" si="2"/>
        <v>3879905.9031877262</v>
      </c>
    </row>
    <row r="4" spans="1:9" ht="15.75" customHeight="1" x14ac:dyDescent="0.2">
      <c r="A4" s="5">
        <f t="shared" si="3"/>
        <v>2023</v>
      </c>
      <c r="B4" s="49">
        <v>869957.17120000022</v>
      </c>
      <c r="C4" s="50">
        <v>1249000</v>
      </c>
      <c r="D4" s="50">
        <v>1783000</v>
      </c>
      <c r="E4" s="50">
        <v>1177000</v>
      </c>
      <c r="F4" s="50">
        <v>834000</v>
      </c>
      <c r="G4" s="17">
        <f t="shared" si="0"/>
        <v>5043000</v>
      </c>
      <c r="H4" s="17">
        <f t="shared" si="1"/>
        <v>1008457.9681647727</v>
      </c>
      <c r="I4" s="17">
        <f t="shared" si="2"/>
        <v>4034542.0318352273</v>
      </c>
    </row>
    <row r="5" spans="1:9" ht="15.75" customHeight="1" x14ac:dyDescent="0.2">
      <c r="A5" s="5">
        <f t="shared" si="3"/>
        <v>2024</v>
      </c>
      <c r="B5" s="49">
        <v>885835.21320000023</v>
      </c>
      <c r="C5" s="50">
        <v>1295000</v>
      </c>
      <c r="D5" s="50">
        <v>1855000</v>
      </c>
      <c r="E5" s="50">
        <v>1213000</v>
      </c>
      <c r="F5" s="50">
        <v>859000</v>
      </c>
      <c r="G5" s="17">
        <f t="shared" si="0"/>
        <v>5222000</v>
      </c>
      <c r="H5" s="17">
        <f t="shared" si="1"/>
        <v>1026863.8604360759</v>
      </c>
      <c r="I5" s="17">
        <f t="shared" si="2"/>
        <v>4195136.1395639237</v>
      </c>
    </row>
    <row r="6" spans="1:9" ht="15.75" customHeight="1" x14ac:dyDescent="0.2">
      <c r="A6" s="5">
        <f t="shared" si="3"/>
        <v>2025</v>
      </c>
      <c r="B6" s="49">
        <v>901807.06400000001</v>
      </c>
      <c r="C6" s="50">
        <v>1339000</v>
      </c>
      <c r="D6" s="50">
        <v>1932000</v>
      </c>
      <c r="E6" s="50">
        <v>1250000</v>
      </c>
      <c r="F6" s="50">
        <v>885000</v>
      </c>
      <c r="G6" s="17">
        <f t="shared" si="0"/>
        <v>5406000</v>
      </c>
      <c r="H6" s="17">
        <f t="shared" si="1"/>
        <v>1045378.4962581833</v>
      </c>
      <c r="I6" s="17">
        <f t="shared" si="2"/>
        <v>4360621.5037418166</v>
      </c>
    </row>
    <row r="7" spans="1:9" ht="15.75" customHeight="1" x14ac:dyDescent="0.2">
      <c r="A7" s="5">
        <f t="shared" si="3"/>
        <v>2026</v>
      </c>
      <c r="B7" s="49">
        <v>917799.07480000006</v>
      </c>
      <c r="C7" s="50">
        <v>1377000</v>
      </c>
      <c r="D7" s="50">
        <v>2012000</v>
      </c>
      <c r="E7" s="50">
        <v>1292000</v>
      </c>
      <c r="F7" s="50">
        <v>909000</v>
      </c>
      <c r="G7" s="17">
        <f t="shared" si="0"/>
        <v>5590000</v>
      </c>
      <c r="H7" s="17">
        <f t="shared" si="1"/>
        <v>1063916.5016360704</v>
      </c>
      <c r="I7" s="17">
        <f t="shared" si="2"/>
        <v>4526083.4983639298</v>
      </c>
    </row>
    <row r="8" spans="1:9" ht="15.75" customHeight="1" x14ac:dyDescent="0.2">
      <c r="A8" s="5">
        <f t="shared" si="3"/>
        <v>2027</v>
      </c>
      <c r="B8" s="49">
        <v>933844.33480000007</v>
      </c>
      <c r="C8" s="50">
        <v>1412000</v>
      </c>
      <c r="D8" s="50">
        <v>2097000</v>
      </c>
      <c r="E8" s="50">
        <v>1336000</v>
      </c>
      <c r="F8" s="50">
        <v>933000</v>
      </c>
      <c r="G8" s="17">
        <f t="shared" si="0"/>
        <v>5778000</v>
      </c>
      <c r="H8" s="17">
        <f t="shared" si="1"/>
        <v>1082516.2337078871</v>
      </c>
      <c r="I8" s="17">
        <f t="shared" si="2"/>
        <v>4695483.7662921129</v>
      </c>
    </row>
    <row r="9" spans="1:9" ht="15.75" customHeight="1" x14ac:dyDescent="0.2">
      <c r="A9" s="5">
        <f t="shared" si="3"/>
        <v>2028</v>
      </c>
      <c r="B9" s="49">
        <v>949846.79200000013</v>
      </c>
      <c r="C9" s="50">
        <v>1446000</v>
      </c>
      <c r="D9" s="50">
        <v>2185000</v>
      </c>
      <c r="E9" s="50">
        <v>1383000</v>
      </c>
      <c r="F9" s="50">
        <v>958000</v>
      </c>
      <c r="G9" s="17">
        <f t="shared" si="0"/>
        <v>5972000</v>
      </c>
      <c r="H9" s="17">
        <f t="shared" si="1"/>
        <v>1101066.3485960669</v>
      </c>
      <c r="I9" s="17">
        <f t="shared" si="2"/>
        <v>4870933.6514039328</v>
      </c>
    </row>
    <row r="10" spans="1:9" ht="15.75" customHeight="1" x14ac:dyDescent="0.2">
      <c r="A10" s="5">
        <f t="shared" si="3"/>
        <v>2029</v>
      </c>
      <c r="B10" s="49">
        <v>965750.51720000012</v>
      </c>
      <c r="C10" s="50">
        <v>1480000</v>
      </c>
      <c r="D10" s="50">
        <v>2273000</v>
      </c>
      <c r="E10" s="50">
        <v>1434000</v>
      </c>
      <c r="F10" s="50">
        <v>983000</v>
      </c>
      <c r="G10" s="17">
        <f t="shared" si="0"/>
        <v>6170000</v>
      </c>
      <c r="H10" s="17">
        <f t="shared" si="1"/>
        <v>1119502.0129395425</v>
      </c>
      <c r="I10" s="17">
        <f t="shared" si="2"/>
        <v>5050497.9870604575</v>
      </c>
    </row>
    <row r="11" spans="1:9" ht="15.75" customHeight="1" x14ac:dyDescent="0.2">
      <c r="A11" s="5">
        <f t="shared" si="3"/>
        <v>2030</v>
      </c>
      <c r="B11" s="49">
        <v>981573.84600000002</v>
      </c>
      <c r="C11" s="50">
        <v>1515000</v>
      </c>
      <c r="D11" s="50">
        <v>2360000</v>
      </c>
      <c r="E11" s="50">
        <v>1488000</v>
      </c>
      <c r="F11" s="50">
        <v>1011000</v>
      </c>
      <c r="G11" s="17">
        <f t="shared" si="0"/>
        <v>6374000</v>
      </c>
      <c r="H11" s="17">
        <f t="shared" si="1"/>
        <v>1137844.4814420321</v>
      </c>
      <c r="I11" s="17">
        <f t="shared" si="2"/>
        <v>5236155.5185579676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m+S7uztThCspfYfj59HOt9KwM2Yfi1gcFpZSgSSuXr8rHnfvLsHmlnQ9E7WwUb+S2lZrA+G9agWa+teXA6zgWA==" saltValue="9zz3AvhjHLm68IeC/tjy4A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5.8530393340034794E-3</v>
      </c>
    </row>
    <row r="4" spans="1:8" ht="15.75" customHeight="1" x14ac:dyDescent="0.2">
      <c r="B4" s="19" t="s">
        <v>97</v>
      </c>
      <c r="C4" s="101">
        <v>0.1995264297929801</v>
      </c>
    </row>
    <row r="5" spans="1:8" ht="15.75" customHeight="1" x14ac:dyDescent="0.2">
      <c r="B5" s="19" t="s">
        <v>95</v>
      </c>
      <c r="C5" s="101">
        <v>6.8556965566188718E-2</v>
      </c>
    </row>
    <row r="6" spans="1:8" ht="15.75" customHeight="1" x14ac:dyDescent="0.2">
      <c r="B6" s="19" t="s">
        <v>91</v>
      </c>
      <c r="C6" s="101">
        <v>0.27823243153076149</v>
      </c>
    </row>
    <row r="7" spans="1:8" ht="15.75" customHeight="1" x14ac:dyDescent="0.2">
      <c r="B7" s="19" t="s">
        <v>96</v>
      </c>
      <c r="C7" s="101">
        <v>0.29909216751907208</v>
      </c>
    </row>
    <row r="8" spans="1:8" ht="15.75" customHeight="1" x14ac:dyDescent="0.2">
      <c r="B8" s="19" t="s">
        <v>98</v>
      </c>
      <c r="C8" s="101">
        <v>1.150924322751198E-2</v>
      </c>
    </row>
    <row r="9" spans="1:8" ht="15.75" customHeight="1" x14ac:dyDescent="0.2">
      <c r="B9" s="19" t="s">
        <v>92</v>
      </c>
      <c r="C9" s="101">
        <v>5.4777095412005171E-2</v>
      </c>
    </row>
    <row r="10" spans="1:8" ht="15.75" customHeight="1" x14ac:dyDescent="0.2">
      <c r="B10" s="19" t="s">
        <v>94</v>
      </c>
      <c r="C10" s="101">
        <v>8.2452627617476945E-2</v>
      </c>
    </row>
    <row r="11" spans="1:8" ht="15.75" customHeight="1" x14ac:dyDescent="0.2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8" t="s">
        <v>74</v>
      </c>
      <c r="D13" s="18" t="s">
        <v>77</v>
      </c>
      <c r="E13" s="18" t="s">
        <v>75</v>
      </c>
      <c r="F13" s="18" t="s">
        <v>76</v>
      </c>
      <c r="G13" s="19"/>
    </row>
    <row r="14" spans="1:8" ht="15.75" customHeight="1" x14ac:dyDescent="0.2">
      <c r="B14" s="19" t="s">
        <v>84</v>
      </c>
      <c r="C14" s="55">
        <v>0.14866046006663769</v>
      </c>
      <c r="D14" s="55">
        <v>0.14866046006663769</v>
      </c>
      <c r="E14" s="55">
        <v>0.14866046006663769</v>
      </c>
      <c r="F14" s="55">
        <v>0.14866046006663769</v>
      </c>
    </row>
    <row r="15" spans="1:8" ht="15.75" customHeight="1" x14ac:dyDescent="0.2">
      <c r="B15" s="19" t="s">
        <v>102</v>
      </c>
      <c r="C15" s="101">
        <v>0.21794976756791931</v>
      </c>
      <c r="D15" s="101">
        <v>0.21794976756791931</v>
      </c>
      <c r="E15" s="101">
        <v>0.21794976756791931</v>
      </c>
      <c r="F15" s="101">
        <v>0.21794976756791931</v>
      </c>
    </row>
    <row r="16" spans="1:8" ht="15.75" customHeight="1" x14ac:dyDescent="0.2">
      <c r="B16" s="19" t="s">
        <v>2</v>
      </c>
      <c r="C16" s="101">
        <v>3.3999264090301608E-2</v>
      </c>
      <c r="D16" s="101">
        <v>3.3999264090301608E-2</v>
      </c>
      <c r="E16" s="101">
        <v>3.3999264090301608E-2</v>
      </c>
      <c r="F16" s="101">
        <v>3.3999264090301608E-2</v>
      </c>
    </row>
    <row r="17" spans="1:8" ht="15.75" customHeight="1" x14ac:dyDescent="0.2">
      <c r="B17" s="19" t="s">
        <v>90</v>
      </c>
      <c r="C17" s="101">
        <v>7.3449169184304549E-3</v>
      </c>
      <c r="D17" s="101">
        <v>7.3449169184304549E-3</v>
      </c>
      <c r="E17" s="101">
        <v>7.3449169184304549E-3</v>
      </c>
      <c r="F17" s="101">
        <v>7.3449169184304549E-3</v>
      </c>
    </row>
    <row r="18" spans="1:8" ht="15.75" customHeight="1" x14ac:dyDescent="0.2">
      <c r="B18" s="19" t="s">
        <v>3</v>
      </c>
      <c r="C18" s="101">
        <v>0.2165748825632032</v>
      </c>
      <c r="D18" s="101">
        <v>0.2165748825632032</v>
      </c>
      <c r="E18" s="101">
        <v>0.2165748825632032</v>
      </c>
      <c r="F18" s="101">
        <v>0.2165748825632032</v>
      </c>
    </row>
    <row r="19" spans="1:8" ht="15.75" customHeight="1" x14ac:dyDescent="0.2">
      <c r="B19" s="19" t="s">
        <v>101</v>
      </c>
      <c r="C19" s="101">
        <v>1.279010704647281E-2</v>
      </c>
      <c r="D19" s="101">
        <v>1.279010704647281E-2</v>
      </c>
      <c r="E19" s="101">
        <v>1.279010704647281E-2</v>
      </c>
      <c r="F19" s="101">
        <v>1.279010704647281E-2</v>
      </c>
    </row>
    <row r="20" spans="1:8" ht="15.75" customHeight="1" x14ac:dyDescent="0.2">
      <c r="B20" s="19" t="s">
        <v>79</v>
      </c>
      <c r="C20" s="101">
        <v>1.6481281755320511E-2</v>
      </c>
      <c r="D20" s="101">
        <v>1.6481281755320511E-2</v>
      </c>
      <c r="E20" s="101">
        <v>1.6481281755320511E-2</v>
      </c>
      <c r="F20" s="101">
        <v>1.6481281755320511E-2</v>
      </c>
    </row>
    <row r="21" spans="1:8" ht="15.75" customHeight="1" x14ac:dyDescent="0.2">
      <c r="B21" s="19" t="s">
        <v>88</v>
      </c>
      <c r="C21" s="101">
        <v>7.9529770772134398E-2</v>
      </c>
      <c r="D21" s="101">
        <v>7.9529770772134398E-2</v>
      </c>
      <c r="E21" s="101">
        <v>7.9529770772134398E-2</v>
      </c>
      <c r="F21" s="101">
        <v>7.9529770772134398E-2</v>
      </c>
    </row>
    <row r="22" spans="1:8" ht="15.75" customHeight="1" x14ac:dyDescent="0.2">
      <c r="B22" s="19" t="s">
        <v>99</v>
      </c>
      <c r="C22" s="101">
        <v>0.26666954921957992</v>
      </c>
      <c r="D22" s="101">
        <v>0.26666954921957992</v>
      </c>
      <c r="E22" s="101">
        <v>0.26666954921957992</v>
      </c>
      <c r="F22" s="101">
        <v>0.26666954921957992</v>
      </c>
    </row>
    <row r="23" spans="1:8" ht="15.75" customHeight="1" x14ac:dyDescent="0.2">
      <c r="B23" s="27" t="s">
        <v>60</v>
      </c>
      <c r="C23" s="48">
        <f>SUM(C14:C22)</f>
        <v>0.99999999999999978</v>
      </c>
      <c r="D23" s="48">
        <f>SUM(D14:D22)</f>
        <v>0.99999999999999978</v>
      </c>
      <c r="E23" s="48">
        <f>SUM(E14:E22)</f>
        <v>0.99999999999999978</v>
      </c>
      <c r="F23" s="48">
        <f>SUM(F14:F22)</f>
        <v>0.99999999999999978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8.8798472000000003E-2</v>
      </c>
    </row>
    <row r="27" spans="1:8" ht="15.75" customHeight="1" x14ac:dyDescent="0.2">
      <c r="B27" s="19" t="s">
        <v>89</v>
      </c>
      <c r="C27" s="101">
        <v>8.9405939999999996E-3</v>
      </c>
    </row>
    <row r="28" spans="1:8" ht="15.75" customHeight="1" x14ac:dyDescent="0.2">
      <c r="B28" s="19" t="s">
        <v>103</v>
      </c>
      <c r="C28" s="101">
        <v>0.15585153099999999</v>
      </c>
    </row>
    <row r="29" spans="1:8" ht="15.75" customHeight="1" x14ac:dyDescent="0.2">
      <c r="B29" s="19" t="s">
        <v>86</v>
      </c>
      <c r="C29" s="101">
        <v>0.170199079</v>
      </c>
    </row>
    <row r="30" spans="1:8" ht="15.75" customHeight="1" x14ac:dyDescent="0.2">
      <c r="B30" s="19" t="s">
        <v>4</v>
      </c>
      <c r="C30" s="101">
        <v>0.10628299300000001</v>
      </c>
    </row>
    <row r="31" spans="1:8" ht="15.75" customHeight="1" x14ac:dyDescent="0.2">
      <c r="B31" s="19" t="s">
        <v>80</v>
      </c>
      <c r="C31" s="101">
        <v>0.108972139</v>
      </c>
    </row>
    <row r="32" spans="1:8" ht="15.75" customHeight="1" x14ac:dyDescent="0.2">
      <c r="B32" s="19" t="s">
        <v>85</v>
      </c>
      <c r="C32" s="101">
        <v>1.8807035E-2</v>
      </c>
    </row>
    <row r="33" spans="2:3" ht="15.75" customHeight="1" x14ac:dyDescent="0.2">
      <c r="B33" s="19" t="s">
        <v>100</v>
      </c>
      <c r="C33" s="101">
        <v>8.4353397999999996E-2</v>
      </c>
    </row>
    <row r="34" spans="2:3" ht="15.75" customHeight="1" x14ac:dyDescent="0.2">
      <c r="B34" s="19" t="s">
        <v>87</v>
      </c>
      <c r="C34" s="101">
        <v>0.25779475800000001</v>
      </c>
    </row>
    <row r="35" spans="2:3" ht="15.75" customHeight="1" x14ac:dyDescent="0.2">
      <c r="B35" s="27" t="s">
        <v>60</v>
      </c>
      <c r="C35" s="48">
        <f>SUM(C26:C34)</f>
        <v>0.99999999899999992</v>
      </c>
    </row>
  </sheetData>
  <sheetProtection algorithmName="SHA-512" hashValue="/ta2OTH95ay8Ac47Xe1AHBNuFoovoayimR/RVr3eH5B9zLXuE4ttHKo1YBjYCp7ffdpTbusmaxMtH/sGVCFHUA==" saltValue="V3RlQFnP6phZNqwckFQqY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0.54774053618056484</v>
      </c>
      <c r="D2" s="52">
        <f>IFERROR(1-_xlfn.NORM.DIST(_xlfn.NORM.INV(SUM(D4:D5), 0, 1) + 1, 0, 1, TRUE), "")</f>
        <v>0.54774053618056484</v>
      </c>
      <c r="E2" s="52">
        <f>IFERROR(1-_xlfn.NORM.DIST(_xlfn.NORM.INV(SUM(E4:E5), 0, 1) + 1, 0, 1, TRUE), "")</f>
        <v>0.50980008951001321</v>
      </c>
      <c r="F2" s="52">
        <f>IFERROR(1-_xlfn.NORM.DIST(_xlfn.NORM.INV(SUM(F4:F5), 0, 1) + 1, 0, 1, TRUE), "")</f>
        <v>0.31066740047111041</v>
      </c>
      <c r="G2" s="52">
        <f>IFERROR(1-_xlfn.NORM.DIST(_xlfn.NORM.INV(SUM(G4:G5), 0, 1) + 1, 0, 1, TRUE), "")</f>
        <v>0.30854993767030126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0.32089295881943514</v>
      </c>
      <c r="D3" s="52">
        <f>IFERROR(_xlfn.NORM.DIST(_xlfn.NORM.INV(SUM(D4:D5), 0, 1) + 1, 0, 1, TRUE) - SUM(D4:D5), "")</f>
        <v>0.32089295881943514</v>
      </c>
      <c r="E3" s="52">
        <f>IFERROR(_xlfn.NORM.DIST(_xlfn.NORM.INV(SUM(E4:E5), 0, 1) + 1, 0, 1, TRUE) - SUM(E4:E5), "")</f>
        <v>0.3374162934899867</v>
      </c>
      <c r="F3" s="52">
        <f>IFERROR(_xlfn.NORM.DIST(_xlfn.NORM.INV(SUM(F4:F5), 0, 1) + 1, 0, 1, TRUE) - SUM(F4:F5), "")</f>
        <v>0.38291849952888957</v>
      </c>
      <c r="G3" s="52">
        <f>IFERROR(_xlfn.NORM.DIST(_xlfn.NORM.INV(SUM(G4:G5), 0, 1) + 1, 0, 1, TRUE) - SUM(G4:G5), "")</f>
        <v>0.38292492232969877</v>
      </c>
    </row>
    <row r="4" spans="1:15" ht="15.75" customHeight="1" x14ac:dyDescent="0.2">
      <c r="B4" s="5" t="s">
        <v>110</v>
      </c>
      <c r="C4" s="45">
        <v>7.4318938000000001E-2</v>
      </c>
      <c r="D4" s="53">
        <v>7.4318938000000001E-2</v>
      </c>
      <c r="E4" s="53">
        <v>0.10114766</v>
      </c>
      <c r="F4" s="53">
        <v>0.19767487</v>
      </c>
      <c r="G4" s="53">
        <v>0.18739233</v>
      </c>
    </row>
    <row r="5" spans="1:15" ht="15.75" customHeight="1" x14ac:dyDescent="0.2">
      <c r="B5" s="5" t="s">
        <v>106</v>
      </c>
      <c r="C5" s="45">
        <v>5.7047567E-2</v>
      </c>
      <c r="D5" s="53">
        <v>5.7047567E-2</v>
      </c>
      <c r="E5" s="53">
        <v>5.1635957000000003E-2</v>
      </c>
      <c r="F5" s="53">
        <v>0.10873923000000001</v>
      </c>
      <c r="G5" s="53">
        <v>0.12113280999999999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0.62004476797922992</v>
      </c>
      <c r="D8" s="52">
        <f>IFERROR(1-_xlfn.NORM.DIST(_xlfn.NORM.INV(SUM(D10:D11), 0, 1) + 1, 0, 1, TRUE), "")</f>
        <v>0.62004476797922992</v>
      </c>
      <c r="E8" s="52">
        <f>IFERROR(1-_xlfn.NORM.DIST(_xlfn.NORM.INV(SUM(E10:E11), 0, 1) + 1, 0, 1, TRUE), "")</f>
        <v>0.49226664900561634</v>
      </c>
      <c r="F8" s="52">
        <f>IFERROR(1-_xlfn.NORM.DIST(_xlfn.NORM.INV(SUM(F10:F11), 0, 1) + 1, 0, 1, TRUE), "")</f>
        <v>0.5452647257018286</v>
      </c>
      <c r="G8" s="52">
        <f>IFERROR(1-_xlfn.NORM.DIST(_xlfn.NORM.INV(SUM(G10:G11), 0, 1) + 1, 0, 1, TRUE), "")</f>
        <v>0.71604400078478991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0.28411064402077008</v>
      </c>
      <c r="D9" s="52">
        <f>IFERROR(_xlfn.NORM.DIST(_xlfn.NORM.INV(SUM(D10:D11), 0, 1) + 1, 0, 1, TRUE) - SUM(D10:D11), "")</f>
        <v>0.28411064402077008</v>
      </c>
      <c r="E9" s="52">
        <f>IFERROR(_xlfn.NORM.DIST(_xlfn.NORM.INV(SUM(E10:E11), 0, 1) + 1, 0, 1, TRUE) - SUM(E10:E11), "")</f>
        <v>0.34434182399438362</v>
      </c>
      <c r="F9" s="52">
        <f>IFERROR(_xlfn.NORM.DIST(_xlfn.NORM.INV(SUM(F10:F11), 0, 1) + 1, 0, 1, TRUE) - SUM(F10:F11), "")</f>
        <v>0.32203269029817139</v>
      </c>
      <c r="G9" s="52">
        <f>IFERROR(_xlfn.NORM.DIST(_xlfn.NORM.INV(SUM(G10:G11), 0, 1) + 1, 0, 1, TRUE) - SUM(G10:G11), "")</f>
        <v>0.22587969021521009</v>
      </c>
    </row>
    <row r="10" spans="1:15" ht="15.75" customHeight="1" x14ac:dyDescent="0.2">
      <c r="B10" s="5" t="s">
        <v>107</v>
      </c>
      <c r="C10" s="45">
        <v>6.2268820000000003E-2</v>
      </c>
      <c r="D10" s="53">
        <v>6.2268820000000003E-2</v>
      </c>
      <c r="E10" s="53">
        <v>0.1264507</v>
      </c>
      <c r="F10" s="53">
        <v>8.8993806999999994E-2</v>
      </c>
      <c r="G10" s="53">
        <v>4.2738771000000002E-2</v>
      </c>
    </row>
    <row r="11" spans="1:15" ht="15.75" customHeight="1" x14ac:dyDescent="0.2">
      <c r="B11" s="5" t="s">
        <v>119</v>
      </c>
      <c r="C11" s="45">
        <v>3.3575767999999999E-2</v>
      </c>
      <c r="D11" s="53">
        <v>3.3575767999999999E-2</v>
      </c>
      <c r="E11" s="53">
        <v>3.6940827000000002E-2</v>
      </c>
      <c r="F11" s="53">
        <v>4.3708776999999997E-2</v>
      </c>
      <c r="G11" s="53">
        <v>1.5337538E-2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0.88340230725000013</v>
      </c>
      <c r="D14" s="54">
        <v>0.86865575759299996</v>
      </c>
      <c r="E14" s="54">
        <v>0.86865575759299996</v>
      </c>
      <c r="F14" s="54">
        <v>0.85659057522600013</v>
      </c>
      <c r="G14" s="54">
        <v>0.85659057522600013</v>
      </c>
      <c r="H14" s="45">
        <v>0.58399999999999996</v>
      </c>
      <c r="I14" s="55">
        <v>0.58399999999999996</v>
      </c>
      <c r="J14" s="55">
        <v>0.58399999999999996</v>
      </c>
      <c r="K14" s="55">
        <v>0.58399999999999996</v>
      </c>
      <c r="L14" s="45">
        <v>0.503</v>
      </c>
      <c r="M14" s="55">
        <v>0.503</v>
      </c>
      <c r="N14" s="55">
        <v>0.503</v>
      </c>
      <c r="O14" s="55">
        <v>0.503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0.35854031062740677</v>
      </c>
      <c r="D15" s="52">
        <f t="shared" si="0"/>
        <v>0.35255523174396775</v>
      </c>
      <c r="E15" s="52">
        <f t="shared" si="0"/>
        <v>0.35255523174396775</v>
      </c>
      <c r="F15" s="52">
        <f t="shared" si="0"/>
        <v>0.34765842063295005</v>
      </c>
      <c r="G15" s="52">
        <f t="shared" si="0"/>
        <v>0.34765842063295005</v>
      </c>
      <c r="H15" s="52">
        <f t="shared" si="0"/>
        <v>0.23702399199999996</v>
      </c>
      <c r="I15" s="52">
        <f t="shared" si="0"/>
        <v>0.23702399199999996</v>
      </c>
      <c r="J15" s="52">
        <f t="shared" si="0"/>
        <v>0.23702399199999996</v>
      </c>
      <c r="K15" s="52">
        <f t="shared" si="0"/>
        <v>0.23702399199999996</v>
      </c>
      <c r="L15" s="52">
        <f t="shared" si="0"/>
        <v>0.20414908899999998</v>
      </c>
      <c r="M15" s="52">
        <f t="shared" si="0"/>
        <v>0.20414908899999998</v>
      </c>
      <c r="N15" s="52">
        <f t="shared" si="0"/>
        <v>0.20414908899999998</v>
      </c>
      <c r="O15" s="52">
        <f t="shared" si="0"/>
        <v>0.20414908899999998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cStE6a0pWfXRd87I40w/f8bE0m3m4eMG8uXWiCB62IVKQheTmMzUSwLfqNxLImsBkyVV3TS4nrA9zPGMV8pJtA==" saltValue="5HUVySHFWAs6qY0k2zEA1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0.62072270000000007</v>
      </c>
      <c r="D2" s="53">
        <v>0.34721740000000001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0.26756039999999998</v>
      </c>
      <c r="D3" s="53">
        <v>0.48751299999999997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8.3577600000000002E-2</v>
      </c>
      <c r="D4" s="53">
        <v>0.1371406</v>
      </c>
      <c r="E4" s="53">
        <v>0.97418731451034501</v>
      </c>
      <c r="F4" s="53">
        <v>0.80398219823837291</v>
      </c>
      <c r="G4" s="53">
        <v>0</v>
      </c>
    </row>
    <row r="5" spans="1:7" x14ac:dyDescent="0.2">
      <c r="B5" s="3" t="s">
        <v>125</v>
      </c>
      <c r="C5" s="52">
        <v>2.813937E-2</v>
      </c>
      <c r="D5" s="52">
        <v>2.8129080000000001E-2</v>
      </c>
      <c r="E5" s="52">
        <f>1-SUM(E2:E4)</f>
        <v>2.5812685489654985E-2</v>
      </c>
      <c r="F5" s="52">
        <f>1-SUM(F2:F4)</f>
        <v>0.19601780176162709</v>
      </c>
      <c r="G5" s="52">
        <f>1-SUM(G2:G4)</f>
        <v>1</v>
      </c>
    </row>
  </sheetData>
  <sheetProtection algorithmName="SHA-512" hashValue="VYA03XuUMRHAhyu3K6QxF230gVowDopxdy+ez9yDgh6ysGC+OLPInsTeU9cWdaiKDWX0rb5/6EdT0qwaUmSXuQ==" saltValue="DdZ8NgKFPkKglRxWRZhHu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tnGlXR/kbM0qjYDxP9rFpVOhVJ5ZmBOCq2Cf4B3GT4HmtK5m0M6/4uqysbnltu4U8oJDq/unrUb2r0tbDsHlIA==" saltValue="NDmgmeNJpiWgmcZYWmZIO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wuRvIJiuX0ITCSK3bcEfIavb9/Xg84GtzBHGUfDrjpCexAqVtCYh6G82920lHcUoQNRbCxLc8GB/GkAwvB/dFA==" saltValue="ia0ZU3ZF+MWLdJQwPv2/u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OBoTC7i4rss/cvTOSKEioMsEM8e5aFpJo5pxcKaedKcTw/dbV6D+JfzX+4XIq3BEnGH+l98qR0a7phAoCq3N9Q==" saltValue="QW9wnOU1GkDtxCh2u2bXe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bvpc8TTQj2Uaoz98d+JkOmAAtFse3Wo7z5p7sHuaDSiXaGiU3eWSYj8UAEIQKC8Op9jA7fqjvf5hd0aXOX0FZw==" saltValue="cb7BGDkw9hu8Z74OfpwbW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0.3298790501335</v>
      </c>
      <c r="C2" s="98">
        <v>0.95</v>
      </c>
      <c r="D2" s="56">
        <v>36.571690758964152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44.673915322947977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77.994484382723172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0.1930432460298625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0.1022219253944</v>
      </c>
      <c r="C10" s="98">
        <v>0.95</v>
      </c>
      <c r="D10" s="56">
        <v>14.198977192068339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0.1022219253944</v>
      </c>
      <c r="C11" s="98">
        <v>0.95</v>
      </c>
      <c r="D11" s="56">
        <v>14.198977192068339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0.1022219253944</v>
      </c>
      <c r="C12" s="98">
        <v>0.95</v>
      </c>
      <c r="D12" s="56">
        <v>14.198977192068339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0.1022219253944</v>
      </c>
      <c r="C13" s="98">
        <v>0.95</v>
      </c>
      <c r="D13" s="56">
        <v>14.198977192068339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0.1022219253944</v>
      </c>
      <c r="C14" s="98">
        <v>0.95</v>
      </c>
      <c r="D14" s="56">
        <v>14.198977192068339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0.1022219253944</v>
      </c>
      <c r="C15" s="98">
        <v>0.95</v>
      </c>
      <c r="D15" s="56">
        <v>14.198977192068339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</v>
      </c>
      <c r="C16" s="98">
        <v>0.95</v>
      </c>
      <c r="D16" s="56">
        <v>0.25525323351447138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0.83702247619628911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0.09</v>
      </c>
      <c r="C18" s="98">
        <v>0.95</v>
      </c>
      <c r="D18" s="56">
        <v>1.899304380682495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1.899304380682495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0.66819469999999992</v>
      </c>
      <c r="C21" s="98">
        <v>0.95</v>
      </c>
      <c r="D21" s="56">
        <v>1.901510417689166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24.209172725963409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0</v>
      </c>
      <c r="C23" s="98">
        <v>0.95</v>
      </c>
      <c r="D23" s="56">
        <v>4.6647271427629606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0.16890558807129999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7.9726716735399994E-2</v>
      </c>
      <c r="C27" s="98">
        <v>0.95</v>
      </c>
      <c r="D27" s="56">
        <v>20.51058971486929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0.39335420340947203</v>
      </c>
      <c r="C29" s="98">
        <v>0.95</v>
      </c>
      <c r="D29" s="56">
        <v>64.674005141426761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2.213974651533833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5.0000000000000001E-3</v>
      </c>
      <c r="C32" s="98">
        <v>0.95</v>
      </c>
      <c r="D32" s="56">
        <v>0.49047047831897028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0.64071502690000004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0.89772540000000012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2.4505510000000001E-2</v>
      </c>
      <c r="C38" s="98">
        <v>0.95</v>
      </c>
      <c r="D38" s="56">
        <v>3.8385823182066949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0.45494628972454798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4S6/D2QjYNM+7qak9zjakZzT5PL7nEr6JQME8IPTrM3ci8zkVbS7u9xT/DzEmBfq9ptPsrl8feqm63NOHM8nIw==" saltValue="U3NLDNBSQK3mAJOjhh6CB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o4HUaY53LoS4qHQ3D3GXYoc5616MW6Qj3ZbTyvPxLttm5JgfR9mTl1uftchj3g6obaiqViHboJnZxpGJe+q1Zw==" saltValue="8hwPfkN3w4CJ1VPFiv96x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fCVA0jMjNPeS/YPEbSPGRdMcNrYJ23BZxWrL/x5qQ4eaCywEEMbG8gbYzV6WLxx9uiOFkHa+Hwf9a0870IJx6A==" saltValue="dUkShXWFrzUR93zc2Enmt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3.3</v>
      </c>
      <c r="C2" s="21">
        <f>'Entradas de población-año base'!C52</f>
        <v>3.3</v>
      </c>
      <c r="D2" s="21">
        <f>'Entradas de población-año base'!C53</f>
        <v>3.3</v>
      </c>
      <c r="E2" s="21">
        <f>'Entradas de población-año base'!C54</f>
        <v>3.3</v>
      </c>
      <c r="F2" s="21">
        <f>'Entradas de población-año base'!C55</f>
        <v>3.3</v>
      </c>
    </row>
    <row r="3" spans="1:6" ht="15.75" customHeight="1" x14ac:dyDescent="0.2">
      <c r="A3" s="3" t="s">
        <v>6</v>
      </c>
      <c r="B3" s="21">
        <f>frac_mam_1month * 2.6</f>
        <v>0.16189893200000002</v>
      </c>
      <c r="C3" s="21">
        <f>frac_mam_1_5months * 2.6</f>
        <v>0.16189893200000002</v>
      </c>
      <c r="D3" s="21">
        <f>frac_mam_6_11months * 2.6</f>
        <v>0.32877181999999999</v>
      </c>
      <c r="E3" s="21">
        <f>frac_mam_12_23months * 2.6</f>
        <v>0.23138389819999999</v>
      </c>
      <c r="F3" s="21">
        <f>frac_mam_24_59months * 2.6</f>
        <v>0.11112080460000001</v>
      </c>
    </row>
    <row r="4" spans="1:6" ht="15.75" customHeight="1" x14ac:dyDescent="0.2">
      <c r="A4" s="3" t="s">
        <v>207</v>
      </c>
      <c r="B4" s="21">
        <f>frac_sam_1month * 2.6</f>
        <v>8.7296996799999999E-2</v>
      </c>
      <c r="C4" s="21">
        <f>frac_sam_1_5months * 2.6</f>
        <v>8.7296996799999999E-2</v>
      </c>
      <c r="D4" s="21">
        <f>frac_sam_6_11months * 2.6</f>
        <v>9.6046150200000013E-2</v>
      </c>
      <c r="E4" s="21">
        <f>frac_sam_12_23months * 2.6</f>
        <v>0.11364282019999999</v>
      </c>
      <c r="F4" s="21">
        <f>frac_sam_24_59months * 2.6</f>
        <v>3.9877598799999997E-2</v>
      </c>
    </row>
  </sheetData>
  <sheetProtection algorithmName="SHA-512" hashValue="+BwLRnyC0HnFk47prUBJO2SPMJ5r00fZgF9MD72Jqc5/rECU9tlo0oFSopyyTp1RMv7+WhlmvA/8zql3Ma/ejA==" saltValue="9+xyJLanEzyFMwxWvVgzh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0.49700000000000011</v>
      </c>
      <c r="E2" s="60">
        <f>food_insecure</f>
        <v>0.49700000000000011</v>
      </c>
      <c r="F2" s="60">
        <f>food_insecure</f>
        <v>0.49700000000000011</v>
      </c>
      <c r="G2" s="60">
        <f>food_insecure</f>
        <v>0.49700000000000011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0.49700000000000011</v>
      </c>
      <c r="F5" s="60">
        <f>food_insecure</f>
        <v>0.49700000000000011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0.49700000000000011</v>
      </c>
      <c r="F8" s="60">
        <f>food_insecure</f>
        <v>0.49700000000000011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0.49700000000000011</v>
      </c>
      <c r="F9" s="60">
        <f>food_insecure</f>
        <v>0.49700000000000011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0.23</v>
      </c>
      <c r="E10" s="60">
        <f>IF(ISBLANK(comm_deliv), frac_children_health_facility,1)</f>
        <v>0.23</v>
      </c>
      <c r="F10" s="60">
        <f>IF(ISBLANK(comm_deliv), frac_children_health_facility,1)</f>
        <v>0.23</v>
      </c>
      <c r="G10" s="60">
        <f>IF(ISBLANK(comm_deliv), frac_children_health_facility,1)</f>
        <v>0.23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0.49700000000000011</v>
      </c>
      <c r="I15" s="60">
        <f>food_insecure</f>
        <v>0.49700000000000011</v>
      </c>
      <c r="J15" s="60">
        <f>food_insecure</f>
        <v>0.49700000000000011</v>
      </c>
      <c r="K15" s="60">
        <f>food_insecure</f>
        <v>0.49700000000000011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0.38</v>
      </c>
      <c r="I18" s="60">
        <f>frac_PW_health_facility</f>
        <v>0.38</v>
      </c>
      <c r="J18" s="60">
        <f>frac_PW_health_facility</f>
        <v>0.38</v>
      </c>
      <c r="K18" s="60">
        <f>frac_PW_health_facility</f>
        <v>0.38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0.9</v>
      </c>
      <c r="I19" s="60">
        <f>frac_malaria_risk</f>
        <v>0.9</v>
      </c>
      <c r="J19" s="60">
        <f>frac_malaria_risk</f>
        <v>0.9</v>
      </c>
      <c r="K19" s="60">
        <f>frac_malaria_risk</f>
        <v>0.9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0.54</v>
      </c>
      <c r="M24" s="60">
        <f>famplan_unmet_need</f>
        <v>0.54</v>
      </c>
      <c r="N24" s="60">
        <f>famplan_unmet_need</f>
        <v>0.54</v>
      </c>
      <c r="O24" s="60">
        <f>famplan_unmet_need</f>
        <v>0.54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0.43922433857421878</v>
      </c>
      <c r="M25" s="60">
        <f>(1-food_insecure)*(0.49)+food_insecure*(0.7)</f>
        <v>0.59436999999999995</v>
      </c>
      <c r="N25" s="60">
        <f>(1-food_insecure)*(0.49)+food_insecure*(0.7)</f>
        <v>0.59436999999999995</v>
      </c>
      <c r="O25" s="60">
        <f>(1-food_insecure)*(0.49)+food_insecure*(0.7)</f>
        <v>0.59436999999999995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0.18823900224609377</v>
      </c>
      <c r="M26" s="60">
        <f>(1-food_insecure)*(0.21)+food_insecure*(0.3)</f>
        <v>0.25473000000000001</v>
      </c>
      <c r="N26" s="60">
        <f>(1-food_insecure)*(0.21)+food_insecure*(0.3)</f>
        <v>0.25473000000000001</v>
      </c>
      <c r="O26" s="60">
        <f>(1-food_insecure)*(0.21)+food_insecure*(0.3)</f>
        <v>0.25473000000000001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0.11151126855468747</v>
      </c>
      <c r="M27" s="60">
        <f>(1-food_insecure)*(0.3)</f>
        <v>0.15089999999999995</v>
      </c>
      <c r="N27" s="60">
        <f>(1-food_insecure)*(0.3)</f>
        <v>0.15089999999999995</v>
      </c>
      <c r="O27" s="60">
        <f>(1-food_insecure)*(0.3)</f>
        <v>0.15089999999999995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0.26102539062500002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0.9</v>
      </c>
      <c r="D34" s="60">
        <f t="shared" si="3"/>
        <v>0.9</v>
      </c>
      <c r="E34" s="60">
        <f t="shared" si="3"/>
        <v>0.9</v>
      </c>
      <c r="F34" s="60">
        <f t="shared" si="3"/>
        <v>0.9</v>
      </c>
      <c r="G34" s="60">
        <f t="shared" si="3"/>
        <v>0.9</v>
      </c>
      <c r="H34" s="60">
        <f t="shared" si="3"/>
        <v>0.9</v>
      </c>
      <c r="I34" s="60">
        <f t="shared" si="3"/>
        <v>0.9</v>
      </c>
      <c r="J34" s="60">
        <f t="shared" si="3"/>
        <v>0.9</v>
      </c>
      <c r="K34" s="60">
        <f t="shared" si="3"/>
        <v>0.9</v>
      </c>
      <c r="L34" s="60">
        <f t="shared" si="3"/>
        <v>0.9</v>
      </c>
      <c r="M34" s="60">
        <f t="shared" si="3"/>
        <v>0.9</v>
      </c>
      <c r="N34" s="60">
        <f t="shared" si="3"/>
        <v>0.9</v>
      </c>
      <c r="O34" s="60">
        <f t="shared" si="3"/>
        <v>0.9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aa5fMoQvhXyrO7bqi2oW6USvMoP8YSmYr6f/lItiVERF121hjdUyh626HpWd2PZ5fMSQGEbl3mbYdgC8VK42FQ==" saltValue="1Z4hY7ZRzYlRhmAc+TGwG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3QE2MLWVVFM3q2ax1RmIdhQ+c5YMYBlDsIL+DjvYxwRwB458a8iEzfOGyHD3wLrSkY7bAD648UWvgmnp6LgjjQ==" saltValue="OZevRWzYt2nJA74VDODA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K0AVeoDlV4LptCGYLk276NUYNFasihdsMZkV9H2ZAjbUWugWYELBLRsjHzw9YDL/CKdPUKWim+tnCGTCgoXc/Q==" saltValue="llBMF8saHOb/ISYbNwy2E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zTUvkwhmm1pUDGrBe2qwyW3M2CAd9JKdcAaHHucWGy6EGchRWJDBtzM66ncKZ2Mh3D6Cg+mjaKQkg3NABmXMw==" saltValue="SDVtEZswP7ad4grSrRvfl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Rx9ooHpjqgJ1nhzD7YYJkr/ibXwgk+A4w7ffWook05AciC60vkRq6ingIwnxxhxS8BJbybLMSt951PhOqf58og==" saltValue="9cqCsEfl12xqf/LtvtALk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Tm0FGlN3wwtk9JKWVVUrdqdWsq8FWKzQf/jAp9PvHB2SX3VK1b6NE1chbrjh2C80nsLsbHMjds03BOOHLh4GCA==" saltValue="WSTO6VdE/H0ApwQa2Vi8b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2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2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2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2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2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2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2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2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2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/8EYbFGR/NYGf9A6YK0uel2rdn6O3z9bfJwcC/7oyOUKyYjkXxLH+ZtM7E5L3+Qt2gBRF21zUHb53IQZioVKyA==" saltValue="acwYehDEBtMadeCyv0PdXg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MshFJfBugBrHYoZprlhEdNOZY0+y7c+w9W6e0L/JKuM8pWerwsz6yYGub57Mz8j3gkVacncowVdITkqeZqsgLA==" saltValue="pkhdfX1TMeCy9W+LBtBRb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NxgoAByq671zUS9PQ8vL5myDlGbmYGyXBlwNsFzo7oHQ9DxCInvN06fvydOY04wO7tiBuOXR0j9kzXJRsscOdw==" saltValue="E1GfuYrHzKs8HCoFKjUIA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yZ4MPVTSd5oSDwpTgZiJ5lVagxd+r8BJ9qdBMk2ziR2fYfJZAG1qkwWFvG1mIkKWQpS5Ks7QmB5h912/HycZyA==" saltValue="QA6wxjBdtila8E6ZMJLn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8gMoxCKPRq/7fUSsli6j78jqJpaFO4YYl0TLPECwR+BsKPYYdGmeSmgEa0a85nQrd5oyQKU+/NskqyoSAKQcpw==" saltValue="SUUwPVPGkFfSn/z4fDFvU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9YtmweMZBXjf/0D0xz/LLm2lVsXT+T8hV+yYCR+bIymdWew8H7RzaCT478qDeYgjeTI3A1zFWJEkSJKDWpu1oQ==" saltValue="TDy9Lfl3Fx2JBPU+CEBVz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g20GdSIgx3AP+Fbtf1FgYTQabSFKJlTSm7u4G3YHxiAqPeOrkscJ1sPG0yVHDcyefhZXlc3VUa14b0jJyiajzQ==" saltValue="vH4LI335er0ctbaM3Uu3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KwjoK12XQ8mBCB4TpDHo6szKgiXPKuZ7rpBwCs4ppI/J8B3+tPXCl+x0lMoBdlPpDKRjhzkNPWNx9LpED+N0cw==" saltValue="bEnfzf/Tk8hh0ojkAMHEI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HZ4pbTbEsiwa/7qdDmAPOr4R3DZ1b+pMXErpsMZk40gIQABC/sS5vbKAG4dUKJ7I90TXEiRlVNpeAVOOMB93fw==" saltValue="HEwdQrzt3FuBk32vyaHuM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2023-01-25T11:42:43Z</dcterms:modified>
</cp:coreProperties>
</file>