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665D164A-AE7A-4A36-968A-6C7B0E0EDFB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5" i="2"/>
  <c r="A19" i="2"/>
  <c r="A16" i="2"/>
  <c r="A15" i="2"/>
  <c r="H11" i="2"/>
  <c r="G11" i="2"/>
  <c r="I11" i="2" s="1"/>
  <c r="H10" i="2"/>
  <c r="I10" i="2" s="1"/>
  <c r="G10" i="2"/>
  <c r="H9" i="2"/>
  <c r="G9" i="2"/>
  <c r="I8" i="2"/>
  <c r="H8" i="2"/>
  <c r="G8" i="2"/>
  <c r="H7" i="2"/>
  <c r="G7" i="2"/>
  <c r="I7" i="2" s="1"/>
  <c r="H6" i="2"/>
  <c r="I6" i="2" s="1"/>
  <c r="G6" i="2"/>
  <c r="H5" i="2"/>
  <c r="G5" i="2"/>
  <c r="I4" i="2"/>
  <c r="H4" i="2"/>
  <c r="G4" i="2"/>
  <c r="H3" i="2"/>
  <c r="G3" i="2"/>
  <c r="I3" i="2" s="1"/>
  <c r="I2" i="2"/>
  <c r="H2" i="2"/>
  <c r="G2" i="2"/>
  <c r="A2" i="2"/>
  <c r="A40" i="2" s="1"/>
  <c r="C33" i="1"/>
  <c r="C20" i="1"/>
  <c r="A17" i="2" l="1"/>
  <c r="A23" i="2"/>
  <c r="A24" i="2"/>
  <c r="A3" i="2"/>
  <c r="I9" i="2"/>
  <c r="A27" i="2"/>
  <c r="A30" i="2"/>
  <c r="A31" i="2"/>
  <c r="A32" i="2"/>
  <c r="A33" i="2"/>
  <c r="A35" i="2"/>
  <c r="I5" i="2"/>
  <c r="A22" i="2"/>
  <c r="A14" i="2"/>
  <c r="A18" i="2"/>
  <c r="A26" i="2"/>
  <c r="A34" i="2"/>
  <c r="A39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D58" i="20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<sst xmlns="http://schemas.openxmlformats.org/spreadsheetml/2006/main" count="2092" uniqueCount="341">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</sst>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2879286.65625</v>
      </c>
    </row>
    <row r="8" spans="1:3" ht="15" customHeight="1" x14ac:dyDescent="0.2">
      <c r="B8" s="5" t="s">
        <v>44</v>
      </c>
      <c r="C8" s="44">
        <v>2.5999999999999999E-2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0.81257881164550794</v>
      </c>
    </row>
    <row r="11" spans="1:3" ht="15" customHeight="1" x14ac:dyDescent="0.2">
      <c r="B11" s="5" t="s">
        <v>49</v>
      </c>
      <c r="C11" s="45">
        <v>0.96</v>
      </c>
    </row>
    <row r="12" spans="1:3" ht="15" customHeight="1" x14ac:dyDescent="0.2">
      <c r="B12" s="5" t="s">
        <v>41</v>
      </c>
      <c r="C12" s="45">
        <v>0.624</v>
      </c>
    </row>
    <row r="13" spans="1:3" ht="15" customHeight="1" x14ac:dyDescent="0.2">
      <c r="B13" s="5" t="s">
        <v>62</v>
      </c>
      <c r="C13" s="45">
        <v>0.33900000000000002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0.1017</v>
      </c>
    </row>
    <row r="24" spans="1:3" ht="15" customHeight="1" x14ac:dyDescent="0.2">
      <c r="B24" s="15" t="s">
        <v>46</v>
      </c>
      <c r="C24" s="45">
        <v>0.4788</v>
      </c>
    </row>
    <row r="25" spans="1:3" ht="15" customHeight="1" x14ac:dyDescent="0.2">
      <c r="B25" s="15" t="s">
        <v>47</v>
      </c>
      <c r="C25" s="45">
        <v>0.3508</v>
      </c>
    </row>
    <row r="26" spans="1:3" ht="15" customHeight="1" x14ac:dyDescent="0.2">
      <c r="B26" s="15" t="s">
        <v>48</v>
      </c>
      <c r="C26" s="45">
        <v>6.8699999999999997E-2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0.350666089200529</v>
      </c>
    </row>
    <row r="30" spans="1:3" ht="14.25" customHeight="1" x14ac:dyDescent="0.2">
      <c r="B30" s="25" t="s">
        <v>63</v>
      </c>
      <c r="C30" s="99">
        <v>2.0659280141665699E-2</v>
      </c>
    </row>
    <row r="31" spans="1:3" ht="14.25" customHeight="1" x14ac:dyDescent="0.2">
      <c r="B31" s="25" t="s">
        <v>10</v>
      </c>
      <c r="C31" s="99">
        <v>5.6103010419699603E-2</v>
      </c>
    </row>
    <row r="32" spans="1:3" ht="14.25" customHeight="1" x14ac:dyDescent="0.2">
      <c r="B32" s="25" t="s">
        <v>11</v>
      </c>
      <c r="C32" s="99">
        <v>0.57257162023810604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6.3580238338559099</v>
      </c>
    </row>
    <row r="38" spans="1:5" ht="15" customHeight="1" x14ac:dyDescent="0.2">
      <c r="B38" s="11" t="s">
        <v>35</v>
      </c>
      <c r="C38" s="43">
        <v>10.2552658630682</v>
      </c>
      <c r="D38" s="12"/>
      <c r="E38" s="13"/>
    </row>
    <row r="39" spans="1:5" ht="15" customHeight="1" x14ac:dyDescent="0.2">
      <c r="B39" s="11" t="s">
        <v>61</v>
      </c>
      <c r="C39" s="43">
        <v>13.2150395933122</v>
      </c>
      <c r="D39" s="12"/>
      <c r="E39" s="12"/>
    </row>
    <row r="40" spans="1:5" ht="15" customHeight="1" x14ac:dyDescent="0.2">
      <c r="B40" s="11" t="s">
        <v>36</v>
      </c>
      <c r="C40" s="100">
        <v>0.88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7.0504905359999999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1.53162E-2</v>
      </c>
      <c r="D45" s="12"/>
    </row>
    <row r="46" spans="1:5" ht="15.75" customHeight="1" x14ac:dyDescent="0.2">
      <c r="B46" s="11" t="s">
        <v>51</v>
      </c>
      <c r="C46" s="45">
        <v>5.8125089999999997E-2</v>
      </c>
      <c r="D46" s="12"/>
    </row>
    <row r="47" spans="1:5" ht="15.75" customHeight="1" x14ac:dyDescent="0.2">
      <c r="B47" s="11" t="s">
        <v>59</v>
      </c>
      <c r="C47" s="45">
        <v>9.8306100000000007E-2</v>
      </c>
      <c r="D47" s="12"/>
      <c r="E47" s="13"/>
    </row>
    <row r="48" spans="1:5" ht="15" customHeight="1" x14ac:dyDescent="0.2">
      <c r="B48" s="11" t="s">
        <v>58</v>
      </c>
      <c r="C48" s="46">
        <v>0.82825260999999994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0.60645700000000002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9.4036293000000007E-2</v>
      </c>
    </row>
    <row r="63" spans="1:4" ht="15.75" customHeight="1" x14ac:dyDescent="0.2">
      <c r="A63" s="4"/>
    </row>
  </sheetData>
  <sheetProtection algorithmName="SHA-512" hashValue="phRg8x3EdTpDAdFqqlzx9y3N+VUuz4BEjCrEOngIdEtOAdE3iiyoaufrFB4bohbFkH7AT/fQLUcLHkA9OUM2Mw==" saltValue="vczdspu2jeh+XN4WJLaT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0.74522398167077997</v>
      </c>
      <c r="C2" s="98">
        <v>0.95</v>
      </c>
      <c r="D2" s="56">
        <v>70.181806402202682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40.152511457401388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604.92325779293253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1.4449927071862101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0.230927760418976</v>
      </c>
      <c r="C10" s="98">
        <v>0.95</v>
      </c>
      <c r="D10" s="56">
        <v>13.2848109011973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0.230927760418976</v>
      </c>
      <c r="C11" s="98">
        <v>0.95</v>
      </c>
      <c r="D11" s="56">
        <v>13.2848109011973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0.230927760418976</v>
      </c>
      <c r="C12" s="98">
        <v>0.95</v>
      </c>
      <c r="D12" s="56">
        <v>13.2848109011973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0.230927760418976</v>
      </c>
      <c r="C13" s="98">
        <v>0.95</v>
      </c>
      <c r="D13" s="56">
        <v>13.2848109011973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0.230927760418976</v>
      </c>
      <c r="C14" s="98">
        <v>0.95</v>
      </c>
      <c r="D14" s="56">
        <v>13.2848109011973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0.230927760418976</v>
      </c>
      <c r="C15" s="98">
        <v>0.95</v>
      </c>
      <c r="D15" s="56">
        <v>13.2848109011973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0.99157670109264429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4.4999999999999998E-2</v>
      </c>
      <c r="C18" s="98">
        <v>0.95</v>
      </c>
      <c r="D18" s="56">
        <v>13.888305673904391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13.888305673904391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0.91610939029999994</v>
      </c>
      <c r="C21" s="98">
        <v>0.95</v>
      </c>
      <c r="D21" s="56">
        <v>18.808752269215748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23.06828735815467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4.4497323231020474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0.231573215570644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0.18010922872200799</v>
      </c>
      <c r="C27" s="98">
        <v>0.95</v>
      </c>
      <c r="D27" s="56">
        <v>18.846234054877879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0.74342956594176202</v>
      </c>
      <c r="C29" s="98">
        <v>0.95</v>
      </c>
      <c r="D29" s="56">
        <v>141.38404679872559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0.1134191936683344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1.398252726E-2</v>
      </c>
      <c r="C32" s="98">
        <v>0.95</v>
      </c>
      <c r="D32" s="56">
        <v>2.157105321486398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0.1230368137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4.5674280063597514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0.87107562276927697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KqT9i9/tT6bNfyEQAzE8nDNShtcSs16keriZr+j98Tjwhezur+E9m5Co095fE15gI5KztWd5zkeDvxd6DWu3w==" saltValue="mmV97m33v5hiqsYK0dO6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Wy9/5ihl9H76scptLVOrmZ3s3W8VgTuVmomYwjAkXQKUz4MfcGJgxBPN6HLWmHkMem8JxpuguZGQVjXdF4+ng==" saltValue="UjdMCZgWI5LEVXD+CwHF5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WyxgAgABusGItkkKl9pzpHHRYQ7aIHOiAAeYjkXipnzIL006d4/EQhNbQpdsg+Q40n5GgU9WaQNecNrer7GYqw==" saltValue="VR18Kab9XnrVZnEES2dF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1.6843449999999999E-2</v>
      </c>
      <c r="C3" s="21">
        <f>frac_mam_1_5months * 2.6</f>
        <v>1.6843449999999999E-2</v>
      </c>
      <c r="D3" s="21">
        <f>frac_mam_6_11months * 2.6</f>
        <v>1.3562423160000003E-2</v>
      </c>
      <c r="E3" s="21">
        <f>frac_mam_12_23months * 2.6</f>
        <v>1.3202151819999999E-2</v>
      </c>
      <c r="F3" s="21">
        <f>frac_mam_24_59months * 2.6</f>
        <v>6.2338185000000001E-3</v>
      </c>
    </row>
    <row r="4" spans="1:6" ht="15.75" customHeight="1" x14ac:dyDescent="0.2">
      <c r="A4" s="3" t="s">
        <v>207</v>
      </c>
      <c r="B4" s="21">
        <f>frac_sam_1month * 2.6</f>
        <v>4.4800215200000004E-3</v>
      </c>
      <c r="C4" s="21">
        <f>frac_sam_1_5months * 2.6</f>
        <v>4.4800215200000004E-3</v>
      </c>
      <c r="D4" s="21">
        <f>frac_sam_6_11months * 2.6</f>
        <v>6.6917926400000003E-3</v>
      </c>
      <c r="E4" s="21">
        <f>frac_sam_12_23months * 2.6</f>
        <v>7.2986602000000005E-4</v>
      </c>
      <c r="F4" s="21">
        <f>frac_sam_24_59months * 2.6</f>
        <v>1.069377348E-3</v>
      </c>
    </row>
  </sheetData>
  <sheetProtection algorithmName="SHA-512" hashValue="CpHlf6+vGIwZc1yCof/NBvjus7iOBjyRcLopTLOxJPmS2OH9YK/xLf20t/h0p+KwX76U2Mi7AXEdCNVWEZN5yA==" saltValue="5nb67OjNnEOCw2ZOtnnb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2.5999999999999999E-2</v>
      </c>
      <c r="E2" s="60">
        <f>food_insecure</f>
        <v>2.5999999999999999E-2</v>
      </c>
      <c r="F2" s="60">
        <f>food_insecure</f>
        <v>2.5999999999999999E-2</v>
      </c>
      <c r="G2" s="60">
        <f>food_insecure</f>
        <v>2.5999999999999999E-2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2.5999999999999999E-2</v>
      </c>
      <c r="F5" s="60">
        <f>food_insecure</f>
        <v>2.5999999999999999E-2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2.5999999999999999E-2</v>
      </c>
      <c r="F8" s="60">
        <f>food_insecure</f>
        <v>2.5999999999999999E-2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2.5999999999999999E-2</v>
      </c>
      <c r="F9" s="60">
        <f>food_insecure</f>
        <v>2.5999999999999999E-2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0.624</v>
      </c>
      <c r="E10" s="60">
        <f>IF(ISBLANK(comm_deliv), frac_children_health_facility,1)</f>
        <v>0.624</v>
      </c>
      <c r="F10" s="60">
        <f>IF(ISBLANK(comm_deliv), frac_children_health_facility,1)</f>
        <v>0.624</v>
      </c>
      <c r="G10" s="60">
        <f>IF(ISBLANK(comm_deliv), frac_children_health_facility,1)</f>
        <v>0.624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2.5999999999999999E-2</v>
      </c>
      <c r="I15" s="60">
        <f>food_insecure</f>
        <v>2.5999999999999999E-2</v>
      </c>
      <c r="J15" s="60">
        <f>food_insecure</f>
        <v>2.5999999999999999E-2</v>
      </c>
      <c r="K15" s="60">
        <f>food_insecure</f>
        <v>2.5999999999999999E-2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0.33900000000000002</v>
      </c>
      <c r="M24" s="60">
        <f>famplan_unmet_need</f>
        <v>0.33900000000000002</v>
      </c>
      <c r="N24" s="60">
        <f>famplan_unmet_need</f>
        <v>0.33900000000000002</v>
      </c>
      <c r="O24" s="60">
        <f>famplan_unmet_need</f>
        <v>0.33900000000000002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9.2859701982116627E-2</v>
      </c>
      <c r="M25" s="60">
        <f>(1-food_insecure)*(0.49)+food_insecure*(0.7)</f>
        <v>0.49545999999999996</v>
      </c>
      <c r="N25" s="60">
        <f>(1-food_insecure)*(0.49)+food_insecure*(0.7)</f>
        <v>0.49545999999999996</v>
      </c>
      <c r="O25" s="60">
        <f>(1-food_insecure)*(0.49)+food_insecure*(0.7)</f>
        <v>0.49545999999999996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3.9797015135192848E-2</v>
      </c>
      <c r="M26" s="60">
        <f>(1-food_insecure)*(0.21)+food_insecure*(0.3)</f>
        <v>0.21234</v>
      </c>
      <c r="N26" s="60">
        <f>(1-food_insecure)*(0.21)+food_insecure*(0.3)</f>
        <v>0.21234</v>
      </c>
      <c r="O26" s="60">
        <f>(1-food_insecure)*(0.21)+food_insecure*(0.3)</f>
        <v>0.21234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5.4764471237182574E-2</v>
      </c>
      <c r="M27" s="60">
        <f>(1-food_insecure)*(0.3)</f>
        <v>0.29219999999999996</v>
      </c>
      <c r="N27" s="60">
        <f>(1-food_insecure)*(0.3)</f>
        <v>0.29219999999999996</v>
      </c>
      <c r="O27" s="60">
        <f>(1-food_insecure)*(0.3)</f>
        <v>0.29219999999999996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0.81257881164550794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ubfblM7+Mk9MrtV0H0SdwmILI/jv9XUYO0Y/6V1th4P1jRqr4k+aZwH0L9udSO9WNg2eQBjYOxyAPeDMr+pfzw==" saltValue="gmxxFryGfOLqBVSkD3vN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3ft075HxoFT2Di+Rv81K5dWhDeS3WzhXRCVRPM8+gX3VOIL2pV6suAGfcEnU+t5lf2qDo1nVKTuL7vjlYhbSyg==" saltValue="G3Eyv1IgFQRl8woZFt00I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U5GlTV/Q+D5aYzzBftmnyWt0J/QGCaORqHpHcwn6TH4ykfST06DotU2sMdlQLnpB4+7mSy3ds9yq6fVLYt6PQ==" saltValue="TZm+2jxg9m5hMhmXS4/Y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jUcxQQOndbGqVttzZ1t+SpBGwt+exSnAOgmIbEWiTEsjZAOA6TfioHWZ7+wjKcQKXoJuEFxOBqp54RPRk0z/w==" saltValue="BKiEv1mG+A35PrljmSJwX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aH3OEaRN0CRlI7IMVAoYKUWMMuOpfbLGtZ5GRKKJVxj+jSVRDC/qpS9IYmKhrmt1I+7cx/dv79CwbJE8oXZEg==" saltValue="vXq/MpoeQYEwj434GhNxV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idH+ISHfQe627MBk/XCRQgEDKYCZxKZ2yLTGhWBOkdJnGNXwPw7K1T76e9tS7p74W55Y3xEPsYF5oGEeM6flA==" saltValue="hULgu0Y+ew+dgO2bt+Pjz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593648.37800000003</v>
      </c>
      <c r="C2" s="49">
        <v>1375000</v>
      </c>
      <c r="D2" s="49">
        <v>2690000</v>
      </c>
      <c r="E2" s="49">
        <v>7797000</v>
      </c>
      <c r="F2" s="49">
        <v>6208000</v>
      </c>
      <c r="G2" s="17">
        <f t="shared" ref="G2:G11" si="0">C2+D2+E2+F2</f>
        <v>18070000</v>
      </c>
      <c r="H2" s="17">
        <f t="shared" ref="H2:H11" si="1">(B2 + stillbirth*B2/(1000-stillbirth))/(1-abortion)</f>
        <v>679390.46559336921</v>
      </c>
      <c r="I2" s="17">
        <f t="shared" ref="I2:I11" si="2">G2-H2</f>
        <v>17390609.534406632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589900.71000000008</v>
      </c>
      <c r="C3" s="50">
        <v>1381000</v>
      </c>
      <c r="D3" s="50">
        <v>2684000</v>
      </c>
      <c r="E3" s="50">
        <v>7994000</v>
      </c>
      <c r="F3" s="50">
        <v>6324000</v>
      </c>
      <c r="G3" s="17">
        <f t="shared" si="0"/>
        <v>18383000</v>
      </c>
      <c r="H3" s="17">
        <f t="shared" si="1"/>
        <v>675101.51273547171</v>
      </c>
      <c r="I3" s="17">
        <f t="shared" si="2"/>
        <v>17707898.487264529</v>
      </c>
    </row>
    <row r="4" spans="1:9" ht="15.75" customHeight="1" x14ac:dyDescent="0.2">
      <c r="A4" s="5">
        <f t="shared" si="3"/>
        <v>2023</v>
      </c>
      <c r="B4" s="49">
        <v>585845.79900000012</v>
      </c>
      <c r="C4" s="50">
        <v>1386000</v>
      </c>
      <c r="D4" s="50">
        <v>2678000</v>
      </c>
      <c r="E4" s="50">
        <v>8197000</v>
      </c>
      <c r="F4" s="50">
        <v>6445000</v>
      </c>
      <c r="G4" s="17">
        <f t="shared" si="0"/>
        <v>18706000</v>
      </c>
      <c r="H4" s="17">
        <f t="shared" si="1"/>
        <v>670460.94101941527</v>
      </c>
      <c r="I4" s="17">
        <f t="shared" si="2"/>
        <v>18035539.058980584</v>
      </c>
    </row>
    <row r="5" spans="1:9" ht="15.75" customHeight="1" x14ac:dyDescent="0.2">
      <c r="A5" s="5">
        <f t="shared" si="3"/>
        <v>2024</v>
      </c>
      <c r="B5" s="49">
        <v>581471.44000000029</v>
      </c>
      <c r="C5" s="50">
        <v>1393000</v>
      </c>
      <c r="D5" s="50">
        <v>2676000</v>
      </c>
      <c r="E5" s="50">
        <v>8397000</v>
      </c>
      <c r="F5" s="50">
        <v>6569000</v>
      </c>
      <c r="G5" s="17">
        <f t="shared" si="0"/>
        <v>19035000</v>
      </c>
      <c r="H5" s="17">
        <f t="shared" si="1"/>
        <v>665454.78264719027</v>
      </c>
      <c r="I5" s="17">
        <f t="shared" si="2"/>
        <v>18369545.217352811</v>
      </c>
    </row>
    <row r="6" spans="1:9" ht="15.75" customHeight="1" x14ac:dyDescent="0.2">
      <c r="A6" s="5">
        <f t="shared" si="3"/>
        <v>2025</v>
      </c>
      <c r="B6" s="49">
        <v>576815.88899999997</v>
      </c>
      <c r="C6" s="50">
        <v>1402000</v>
      </c>
      <c r="D6" s="50">
        <v>2677000</v>
      </c>
      <c r="E6" s="50">
        <v>8583000</v>
      </c>
      <c r="F6" s="50">
        <v>6694000</v>
      </c>
      <c r="G6" s="17">
        <f t="shared" si="0"/>
        <v>19356000</v>
      </c>
      <c r="H6" s="17">
        <f t="shared" si="1"/>
        <v>660126.81902646949</v>
      </c>
      <c r="I6" s="17">
        <f t="shared" si="2"/>
        <v>18695873.18097353</v>
      </c>
    </row>
    <row r="7" spans="1:9" ht="15.75" customHeight="1" x14ac:dyDescent="0.2">
      <c r="A7" s="5">
        <f t="shared" si="3"/>
        <v>2026</v>
      </c>
      <c r="B7" s="49">
        <v>573631.56779999996</v>
      </c>
      <c r="C7" s="50">
        <v>1412000</v>
      </c>
      <c r="D7" s="50">
        <v>2684000</v>
      </c>
      <c r="E7" s="50">
        <v>8761000</v>
      </c>
      <c r="F7" s="50">
        <v>6821000</v>
      </c>
      <c r="G7" s="17">
        <f t="shared" si="0"/>
        <v>19678000</v>
      </c>
      <c r="H7" s="17">
        <f t="shared" si="1"/>
        <v>656482.57852512202</v>
      </c>
      <c r="I7" s="17">
        <f t="shared" si="2"/>
        <v>19021517.421474878</v>
      </c>
    </row>
    <row r="8" spans="1:9" ht="15.75" customHeight="1" x14ac:dyDescent="0.2">
      <c r="A8" s="5">
        <f t="shared" si="3"/>
        <v>2027</v>
      </c>
      <c r="B8" s="49">
        <v>570177.18539999996</v>
      </c>
      <c r="C8" s="50">
        <v>1424000</v>
      </c>
      <c r="D8" s="50">
        <v>2694000</v>
      </c>
      <c r="E8" s="50">
        <v>8930000</v>
      </c>
      <c r="F8" s="50">
        <v>6947000</v>
      </c>
      <c r="G8" s="17">
        <f t="shared" si="0"/>
        <v>19995000</v>
      </c>
      <c r="H8" s="17">
        <f t="shared" si="1"/>
        <v>652529.27122395474</v>
      </c>
      <c r="I8" s="17">
        <f t="shared" si="2"/>
        <v>19342470.728776045</v>
      </c>
    </row>
    <row r="9" spans="1:9" ht="15.75" customHeight="1" x14ac:dyDescent="0.2">
      <c r="A9" s="5">
        <f t="shared" si="3"/>
        <v>2028</v>
      </c>
      <c r="B9" s="49">
        <v>566457.25619999995</v>
      </c>
      <c r="C9" s="50">
        <v>1435000</v>
      </c>
      <c r="D9" s="50">
        <v>2707000</v>
      </c>
      <c r="E9" s="50">
        <v>9080000</v>
      </c>
      <c r="F9" s="50">
        <v>7081000</v>
      </c>
      <c r="G9" s="17">
        <f t="shared" si="0"/>
        <v>20303000</v>
      </c>
      <c r="H9" s="17">
        <f t="shared" si="1"/>
        <v>648272.06354880391</v>
      </c>
      <c r="I9" s="17">
        <f t="shared" si="2"/>
        <v>19654727.936451197</v>
      </c>
    </row>
    <row r="10" spans="1:9" ht="15.75" customHeight="1" x14ac:dyDescent="0.2">
      <c r="A10" s="5">
        <f t="shared" si="3"/>
        <v>2029</v>
      </c>
      <c r="B10" s="49">
        <v>562445.46299999999</v>
      </c>
      <c r="C10" s="50">
        <v>1444000</v>
      </c>
      <c r="D10" s="50">
        <v>2722000</v>
      </c>
      <c r="E10" s="50">
        <v>9209000</v>
      </c>
      <c r="F10" s="50">
        <v>7227000</v>
      </c>
      <c r="G10" s="17">
        <f t="shared" si="0"/>
        <v>20602000</v>
      </c>
      <c r="H10" s="17">
        <f t="shared" si="1"/>
        <v>643680.83724208898</v>
      </c>
      <c r="I10" s="17">
        <f t="shared" si="2"/>
        <v>19958319.162757911</v>
      </c>
    </row>
    <row r="11" spans="1:9" ht="15.75" customHeight="1" x14ac:dyDescent="0.2">
      <c r="A11" s="5">
        <f t="shared" si="3"/>
        <v>2030</v>
      </c>
      <c r="B11" s="49">
        <v>558178.15500000003</v>
      </c>
      <c r="C11" s="50">
        <v>1449000</v>
      </c>
      <c r="D11" s="50">
        <v>2737000</v>
      </c>
      <c r="E11" s="50">
        <v>9310000</v>
      </c>
      <c r="F11" s="50">
        <v>7392000</v>
      </c>
      <c r="G11" s="17">
        <f t="shared" si="0"/>
        <v>20888000</v>
      </c>
      <c r="H11" s="17">
        <f t="shared" si="1"/>
        <v>638797.19150769396</v>
      </c>
      <c r="I11" s="17">
        <f t="shared" si="2"/>
        <v>20249202.808492307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hZmXBPM8f6p++pKrYaq/1eX+ssoDaliNnluLRzHWhNIFphXilSlG5yooMa0JlZJPma2fJ+wU+Yhu/ETvJ+W9Q==" saltValue="OPNTO56SQOLQAbcmwFQEW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3Ga8UNNmWbxKhDu32HOKyIfOa9NOVqTmTAhRyEFwskMjdivOub+QCQt+Lhz+5CiMQWusQVCxpsar4m4GNOzYw==" saltValue="RYXhvKBsnqDGtAUolURrR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Nj8DCb0mbq/8NBLaciNBbzp3VaTNUQTZSrF1/VZto5QoDHkptCBQLd8DkjlQNqnGm3CReFQbaV4e2Uj+QOxllA==" saltValue="Y/LlEojcV4214DJ58Mpr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/mH91PZdJHTC4mjSiZcw2kQgZ2xFMK+UY0qGVJFLvjX3Hzv1PGDKd/omVYesWA2nIuNh/uno0wpVlm6r2OXjVA==" saltValue="S6XseCGURxeOTfynoabd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Jp2rJLY9WWhMCRQmnEQShmThE8q0f7gkWqTaOYcZMYQNHCFeThJWamQHETm4tm7hl1cKNFsdfDhjuOpH9Ht8Ng==" saltValue="kli2urv16lA7LxGRJmB3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TPxZsNXLF1Krg8nPCbG3tzfM5gJ2hYsLxczcp31OYQ2RmhxhnIoNgO/M8SCeGXfQBqNnv07K/FMdCaHqzUTwEw==" saltValue="3NYEUBXDfxASC/RcdJUR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8qNQNgdKuvQaxxX218mrmJ0lcad8QbnzgPseUB15rhmNkuzZyAyajqlRDVOW/lzF/B0gfviv8oQZyZpxd/E/g==" saltValue="NDUpFKjplMV4EFW35i+B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vCA+8fnQdgzKF0m1f9SfAs0b0BxPC0Mp/MGP7WtXUU4/6ur3dHy+WOw2m8szmeckyQkN3PGqDKbSOnVSP0W8SA==" saltValue="/JoV5f1mYZ5ITn6paa8zE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6iFbgVN0j4JCK4CwWtjQYUswpdEKxFNhxW22oBh4GtzCZ8rzc2fpJLbh4ihE+afp9BGiBImN+pClb+vFwbcnnQ==" saltValue="rUUey8o2qshKyamW3xIS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Tafg8KYT04oDxiFU8UL3EOuAM1yyDGOFJurI30ez39VQE/7HM5mOL/niO65414vbZBNNLaSDl0NVMza9AvTcw==" saltValue="8LoR4DihjzYJfPq3zsDYR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7.6954338020167615E-2</v>
      </c>
    </row>
    <row r="5" spans="1:8" ht="15.75" customHeight="1" x14ac:dyDescent="0.2">
      <c r="B5" s="19" t="s">
        <v>95</v>
      </c>
      <c r="C5" s="101">
        <v>4.1228320128518403E-2</v>
      </c>
    </row>
    <row r="6" spans="1:8" ht="15.75" customHeight="1" x14ac:dyDescent="0.2">
      <c r="B6" s="19" t="s">
        <v>91</v>
      </c>
      <c r="C6" s="101">
        <v>0.13444613726507651</v>
      </c>
    </row>
    <row r="7" spans="1:8" ht="15.75" customHeight="1" x14ac:dyDescent="0.2">
      <c r="B7" s="19" t="s">
        <v>96</v>
      </c>
      <c r="C7" s="101">
        <v>0.38688254684612111</v>
      </c>
    </row>
    <row r="8" spans="1:8" ht="15.75" customHeight="1" x14ac:dyDescent="0.2">
      <c r="B8" s="19" t="s">
        <v>98</v>
      </c>
      <c r="C8" s="101">
        <v>8.9928142987232128E-3</v>
      </c>
    </row>
    <row r="9" spans="1:8" ht="15.75" customHeight="1" x14ac:dyDescent="0.2">
      <c r="B9" s="19" t="s">
        <v>92</v>
      </c>
      <c r="C9" s="101">
        <v>0.25729004468209199</v>
      </c>
    </row>
    <row r="10" spans="1:8" ht="15.75" customHeight="1" x14ac:dyDescent="0.2">
      <c r="B10" s="19" t="s">
        <v>94</v>
      </c>
      <c r="C10" s="101">
        <v>9.4205798759301032E-2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8.9580701890332945E-2</v>
      </c>
      <c r="D14" s="55">
        <v>8.9580701890332945E-2</v>
      </c>
      <c r="E14" s="55">
        <v>8.9580701890332945E-2</v>
      </c>
      <c r="F14" s="55">
        <v>8.9580701890332945E-2</v>
      </c>
    </row>
    <row r="15" spans="1:8" ht="15.75" customHeight="1" x14ac:dyDescent="0.2">
      <c r="B15" s="19" t="s">
        <v>102</v>
      </c>
      <c r="C15" s="101">
        <v>0.15266241067921091</v>
      </c>
      <c r="D15" s="101">
        <v>0.15266241067921091</v>
      </c>
      <c r="E15" s="101">
        <v>0.15266241067921091</v>
      </c>
      <c r="F15" s="101">
        <v>0.15266241067921091</v>
      </c>
    </row>
    <row r="16" spans="1:8" ht="15.75" customHeight="1" x14ac:dyDescent="0.2">
      <c r="B16" s="19" t="s">
        <v>2</v>
      </c>
      <c r="C16" s="101">
        <v>2.3461870528993251E-2</v>
      </c>
      <c r="D16" s="101">
        <v>2.3461870528993251E-2</v>
      </c>
      <c r="E16" s="101">
        <v>2.3461870528993251E-2</v>
      </c>
      <c r="F16" s="101">
        <v>2.3461870528993251E-2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4.2201549597979091E-4</v>
      </c>
      <c r="D18" s="101">
        <v>4.2201549597979091E-4</v>
      </c>
      <c r="E18" s="101">
        <v>4.2201549597979091E-4</v>
      </c>
      <c r="F18" s="101">
        <v>4.2201549597979091E-4</v>
      </c>
    </row>
    <row r="19" spans="1:8" ht="15.75" customHeight="1" x14ac:dyDescent="0.2">
      <c r="B19" s="19" t="s">
        <v>101</v>
      </c>
      <c r="C19" s="101">
        <v>9.1504123285945788E-3</v>
      </c>
      <c r="D19" s="101">
        <v>9.1504123285945788E-3</v>
      </c>
      <c r="E19" s="101">
        <v>9.1504123285945788E-3</v>
      </c>
      <c r="F19" s="101">
        <v>9.1504123285945788E-3</v>
      </c>
    </row>
    <row r="20" spans="1:8" ht="15.75" customHeight="1" x14ac:dyDescent="0.2">
      <c r="B20" s="19" t="s">
        <v>79</v>
      </c>
      <c r="C20" s="101">
        <v>2.067295953692503E-2</v>
      </c>
      <c r="D20" s="101">
        <v>2.067295953692503E-2</v>
      </c>
      <c r="E20" s="101">
        <v>2.067295953692503E-2</v>
      </c>
      <c r="F20" s="101">
        <v>2.067295953692503E-2</v>
      </c>
    </row>
    <row r="21" spans="1:8" ht="15.75" customHeight="1" x14ac:dyDescent="0.2">
      <c r="B21" s="19" t="s">
        <v>88</v>
      </c>
      <c r="C21" s="101">
        <v>0.1549542822093426</v>
      </c>
      <c r="D21" s="101">
        <v>0.1549542822093426</v>
      </c>
      <c r="E21" s="101">
        <v>0.1549542822093426</v>
      </c>
      <c r="F21" s="101">
        <v>0.1549542822093426</v>
      </c>
    </row>
    <row r="22" spans="1:8" ht="15.75" customHeight="1" x14ac:dyDescent="0.2">
      <c r="B22" s="19" t="s">
        <v>99</v>
      </c>
      <c r="C22" s="101">
        <v>0.54909534733062104</v>
      </c>
      <c r="D22" s="101">
        <v>0.54909534733062104</v>
      </c>
      <c r="E22" s="101">
        <v>0.54909534733062104</v>
      </c>
      <c r="F22" s="101">
        <v>0.54909534733062104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5.9206632000000002E-2</v>
      </c>
    </row>
    <row r="27" spans="1:8" ht="15.75" customHeight="1" x14ac:dyDescent="0.2">
      <c r="B27" s="19" t="s">
        <v>89</v>
      </c>
      <c r="C27" s="101">
        <v>5.4331326999999999E-2</v>
      </c>
    </row>
    <row r="28" spans="1:8" ht="15.75" customHeight="1" x14ac:dyDescent="0.2">
      <c r="B28" s="19" t="s">
        <v>103</v>
      </c>
      <c r="C28" s="101">
        <v>8.2001606000000005E-2</v>
      </c>
    </row>
    <row r="29" spans="1:8" ht="15.75" customHeight="1" x14ac:dyDescent="0.2">
      <c r="B29" s="19" t="s">
        <v>86</v>
      </c>
      <c r="C29" s="101">
        <v>0.17244879399999999</v>
      </c>
    </row>
    <row r="30" spans="1:8" ht="15.75" customHeight="1" x14ac:dyDescent="0.2">
      <c r="B30" s="19" t="s">
        <v>4</v>
      </c>
      <c r="C30" s="101">
        <v>0.28298384500000001</v>
      </c>
    </row>
    <row r="31" spans="1:8" ht="15.75" customHeight="1" x14ac:dyDescent="0.2">
      <c r="B31" s="19" t="s">
        <v>80</v>
      </c>
      <c r="C31" s="101">
        <v>5.2443504000000002E-2</v>
      </c>
    </row>
    <row r="32" spans="1:8" ht="15.75" customHeight="1" x14ac:dyDescent="0.2">
      <c r="B32" s="19" t="s">
        <v>85</v>
      </c>
      <c r="C32" s="101">
        <v>1.1239091E-2</v>
      </c>
    </row>
    <row r="33" spans="2:3" ht="15.75" customHeight="1" x14ac:dyDescent="0.2">
      <c r="B33" s="19" t="s">
        <v>100</v>
      </c>
      <c r="C33" s="101">
        <v>0.207844573</v>
      </c>
    </row>
    <row r="34" spans="2:3" ht="15.75" customHeight="1" x14ac:dyDescent="0.2">
      <c r="B34" s="19" t="s">
        <v>87</v>
      </c>
      <c r="C34" s="101">
        <v>7.7500629000000015E-2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j2o+BGM9lFR7rMjKBqRBmuT/vQEW1l/Hbd6SaTv6JseTGybb357qnkA18xc/x6usvoidyMfgg6bu34y0bdhnjw==" saltValue="RlBs69WxX6+wwm08mfur7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0.63980095114308355</v>
      </c>
      <c r="D2" s="52">
        <f>IFERROR(1-_xlfn.NORM.DIST(_xlfn.NORM.INV(SUM(D4:D5), 0, 1) + 1, 0, 1, TRUE), "")</f>
        <v>0.63980095114308355</v>
      </c>
      <c r="E2" s="52">
        <f>IFERROR(1-_xlfn.NORM.DIST(_xlfn.NORM.INV(SUM(E4:E5), 0, 1) + 1, 0, 1, TRUE), "")</f>
        <v>0.59646085966716789</v>
      </c>
      <c r="F2" s="52">
        <f>IFERROR(1-_xlfn.NORM.DIST(_xlfn.NORM.INV(SUM(F4:F5), 0, 1) + 1, 0, 1, TRUE), "")</f>
        <v>0.5051751874495054</v>
      </c>
      <c r="G2" s="52">
        <f>IFERROR(1-_xlfn.NORM.DIST(_xlfn.NORM.INV(SUM(G4:G5), 0, 1) + 1, 0, 1, TRUE), "")</f>
        <v>0.57448211677615224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0.27295559185691642</v>
      </c>
      <c r="D3" s="52">
        <f>IFERROR(_xlfn.NORM.DIST(_xlfn.NORM.INV(SUM(D4:D5), 0, 1) + 1, 0, 1, TRUE) - SUM(D4:D5), "")</f>
        <v>0.27295559185691642</v>
      </c>
      <c r="E3" s="52">
        <f>IFERROR(_xlfn.NORM.DIST(_xlfn.NORM.INV(SUM(E4:E5), 0, 1) + 1, 0, 1, TRUE) - SUM(E4:E5), "")</f>
        <v>0.29682559933283215</v>
      </c>
      <c r="F3" s="52">
        <f>IFERROR(_xlfn.NORM.DIST(_xlfn.NORM.INV(SUM(F4:F5), 0, 1) + 1, 0, 1, TRUE) - SUM(F4:F5), "")</f>
        <v>0.33928819655049469</v>
      </c>
      <c r="G3" s="52">
        <f>IFERROR(_xlfn.NORM.DIST(_xlfn.NORM.INV(SUM(G4:G5), 0, 1) + 1, 0, 1, TRUE) - SUM(G4:G5), "")</f>
        <v>0.3080611902238477</v>
      </c>
    </row>
    <row r="4" spans="1:15" ht="15.75" customHeight="1" x14ac:dyDescent="0.2">
      <c r="B4" s="5" t="s">
        <v>110</v>
      </c>
      <c r="C4" s="45">
        <v>6.6013297999999998E-2</v>
      </c>
      <c r="D4" s="53">
        <v>6.6013297999999998E-2</v>
      </c>
      <c r="E4" s="53">
        <v>8.8126507000000007E-2</v>
      </c>
      <c r="F4" s="53">
        <v>0.12934668999999999</v>
      </c>
      <c r="G4" s="53">
        <v>0.10214143000000001</v>
      </c>
    </row>
    <row r="5" spans="1:15" ht="15.75" customHeight="1" x14ac:dyDescent="0.2">
      <c r="B5" s="5" t="s">
        <v>106</v>
      </c>
      <c r="C5" s="45">
        <v>2.1230158999999998E-2</v>
      </c>
      <c r="D5" s="53">
        <v>2.1230158999999998E-2</v>
      </c>
      <c r="E5" s="53">
        <v>1.8587033999999999E-2</v>
      </c>
      <c r="F5" s="53">
        <v>2.6189925999999999E-2</v>
      </c>
      <c r="G5" s="53">
        <v>1.5315263000000001E-2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0.9192179413662187</v>
      </c>
      <c r="D8" s="52">
        <f>IFERROR(1-_xlfn.NORM.DIST(_xlfn.NORM.INV(SUM(D10:D11), 0, 1) + 1, 0, 1, TRUE), "")</f>
        <v>0.9192179413662187</v>
      </c>
      <c r="E8" s="52">
        <f>IFERROR(1-_xlfn.NORM.DIST(_xlfn.NORM.INV(SUM(E10:E11), 0, 1) + 1, 0, 1, TRUE), "")</f>
        <v>0.92199283601063797</v>
      </c>
      <c r="F8" s="52">
        <f>IFERROR(1-_xlfn.NORM.DIST(_xlfn.NORM.INV(SUM(F10:F11), 0, 1) + 1, 0, 1, TRUE), "")</f>
        <v>0.93964443149368881</v>
      </c>
      <c r="G8" s="52">
        <f>IFERROR(1-_xlfn.NORM.DIST(_xlfn.NORM.INV(SUM(G10:G11), 0, 1) + 1, 0, 1, TRUE), "")</f>
        <v>0.96157733997084693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7.2580723433781302E-2</v>
      </c>
      <c r="D9" s="52">
        <f>IFERROR(_xlfn.NORM.DIST(_xlfn.NORM.INV(SUM(D10:D11), 0, 1) + 1, 0, 1, TRUE) - SUM(D10:D11), "")</f>
        <v>7.2580723433781302E-2</v>
      </c>
      <c r="E9" s="52">
        <f>IFERROR(_xlfn.NORM.DIST(_xlfn.NORM.INV(SUM(E10:E11), 0, 1) + 1, 0, 1, TRUE) - SUM(E10:E11), "")</f>
        <v>7.0217080989362024E-2</v>
      </c>
      <c r="F9" s="52">
        <f>IFERROR(_xlfn.NORM.DIST(_xlfn.NORM.INV(SUM(F10:F11), 0, 1) + 1, 0, 1, TRUE) - SUM(F10:F11), "")</f>
        <v>5.4997100106311203E-2</v>
      </c>
      <c r="G9" s="52">
        <f>IFERROR(_xlfn.NORM.DIST(_xlfn.NORM.INV(SUM(G10:G11), 0, 1) + 1, 0, 1, TRUE) - SUM(G10:G11), "")</f>
        <v>3.5613738549153034E-2</v>
      </c>
    </row>
    <row r="10" spans="1:15" ht="15.75" customHeight="1" x14ac:dyDescent="0.2">
      <c r="B10" s="5" t="s">
        <v>107</v>
      </c>
      <c r="C10" s="45">
        <v>6.4782499999999996E-3</v>
      </c>
      <c r="D10" s="53">
        <v>6.4782499999999996E-3</v>
      </c>
      <c r="E10" s="53">
        <v>5.2163166000000014E-3</v>
      </c>
      <c r="F10" s="53">
        <v>5.0777506999999996E-3</v>
      </c>
      <c r="G10" s="53">
        <v>2.3976225E-3</v>
      </c>
    </row>
    <row r="11" spans="1:15" ht="15.75" customHeight="1" x14ac:dyDescent="0.2">
      <c r="B11" s="5" t="s">
        <v>119</v>
      </c>
      <c r="C11" s="45">
        <v>1.7230851999999999E-3</v>
      </c>
      <c r="D11" s="53">
        <v>1.7230851999999999E-3</v>
      </c>
      <c r="E11" s="53">
        <v>2.5737664E-3</v>
      </c>
      <c r="F11" s="53">
        <v>2.8071770000000001E-4</v>
      </c>
      <c r="G11" s="53">
        <v>4.1129897999999998E-4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0.90798535650000001</v>
      </c>
      <c r="D14" s="54">
        <v>0.87176858063600005</v>
      </c>
      <c r="E14" s="54">
        <v>0.87176858063600005</v>
      </c>
      <c r="F14" s="54">
        <v>0.44194822078700002</v>
      </c>
      <c r="G14" s="54">
        <v>0.44194822078700002</v>
      </c>
      <c r="H14" s="45">
        <v>0.25800000000000001</v>
      </c>
      <c r="I14" s="55">
        <v>0.25800000000000001</v>
      </c>
      <c r="J14" s="55">
        <v>0.25800000000000001</v>
      </c>
      <c r="K14" s="55">
        <v>0.25800000000000001</v>
      </c>
      <c r="L14" s="45">
        <v>0.18099999999999999</v>
      </c>
      <c r="M14" s="55">
        <v>0.18099999999999999</v>
      </c>
      <c r="N14" s="55">
        <v>0.18099999999999999</v>
      </c>
      <c r="O14" s="55">
        <v>0.18099999999999999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0.55065407534692057</v>
      </c>
      <c r="D15" s="52">
        <f t="shared" si="0"/>
        <v>0.52869015810676667</v>
      </c>
      <c r="E15" s="52">
        <f t="shared" si="0"/>
        <v>0.52869015810676667</v>
      </c>
      <c r="F15" s="52">
        <f t="shared" si="0"/>
        <v>0.26802259213382168</v>
      </c>
      <c r="G15" s="52">
        <f t="shared" si="0"/>
        <v>0.26802259213382168</v>
      </c>
      <c r="H15" s="52">
        <f t="shared" si="0"/>
        <v>0.15646590600000002</v>
      </c>
      <c r="I15" s="52">
        <f t="shared" si="0"/>
        <v>0.15646590600000002</v>
      </c>
      <c r="J15" s="52">
        <f t="shared" si="0"/>
        <v>0.15646590600000002</v>
      </c>
      <c r="K15" s="52">
        <f t="shared" si="0"/>
        <v>0.15646590600000002</v>
      </c>
      <c r="L15" s="52">
        <f t="shared" si="0"/>
        <v>0.109768717</v>
      </c>
      <c r="M15" s="52">
        <f t="shared" si="0"/>
        <v>0.109768717</v>
      </c>
      <c r="N15" s="52">
        <f t="shared" si="0"/>
        <v>0.109768717</v>
      </c>
      <c r="O15" s="52">
        <f t="shared" si="0"/>
        <v>0.109768717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9PSia+O5YbEHsqPsTRuWBJ1/DXZcMD1U8ifiHLmZOd24CudFEn81UVuVzNEM1gxnCnbxEy56k56MdwGSgF4PjQ==" saltValue="6p6sgJDj64lKnyYIilnw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0.78232185360000006</v>
      </c>
      <c r="D2" s="53">
        <v>0.63867821000000002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2.4637365000000001E-2</v>
      </c>
      <c r="D3" s="53">
        <v>6.6391749E-2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0.19304075000000001</v>
      </c>
      <c r="D4" s="53">
        <v>0.27203475999999999</v>
      </c>
      <c r="E4" s="53">
        <v>0.92026948928832997</v>
      </c>
      <c r="F4" s="53">
        <v>0.66487014293670699</v>
      </c>
      <c r="G4" s="53">
        <v>0</v>
      </c>
    </row>
    <row r="5" spans="1:7" x14ac:dyDescent="0.2">
      <c r="B5" s="3" t="s">
        <v>125</v>
      </c>
      <c r="C5" s="52">
        <v>0</v>
      </c>
      <c r="D5" s="52">
        <v>2.2895295999999999E-2</v>
      </c>
      <c r="E5" s="52">
        <f>1-SUM(E2:E4)</f>
        <v>7.9730510711670033E-2</v>
      </c>
      <c r="F5" s="52">
        <f>1-SUM(F2:F4)</f>
        <v>0.33512985706329301</v>
      </c>
      <c r="G5" s="52">
        <f>1-SUM(G2:G4)</f>
        <v>1</v>
      </c>
    </row>
  </sheetData>
  <sheetProtection algorithmName="SHA-512" hashValue="BieiswWMVqP/Itbh+SbbyKYQpDs8/S/olRGGAgub+JRS7TWJPLTkJINUkSoog88teC60RvFiP/TOc7oz+x5yqg==" saltValue="G8p5LXPTq+9Y2G4AGtoOE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EljHm1UK8C9R4zOIyWRfU3L466VW1mm0Ys3K2jHs/zCWraBr5Y/lruW/eYAQ3XxkIDiZX9j3emU5dYREKPPGg==" saltValue="bkHcTlDY2cmoGhk4tTiza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C0bLqR1Kx3oGPqTI0T/CsTJx25UbFhuz5E8ufCGOs7L/mEw9518BDtyI0HEoEN5t1K1UP+bQcoLYDRq+2paBDQ==" saltValue="3LPu/ysfRpVGpQ/BpQNnz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bO1U/iDWJ0BA9AfI4TQXPf/RofPwAML6dx7+DSW6Te9RmPvRVKXD6CVoONnJ3RWJzkN1qkaNFCal+y68cH0FZg==" saltValue="F1TrCshBsaGJnYJiUsISx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RulRyD8PH06jhz1BogcGUQLbRuH4KTncCddj+BpOBdtuVuCU7/3cHehLE/p2mwtvJ7O5zXkntHja4pP+PRKuGA==" saltValue="9yIHPadezaGwv23ycxPvS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2023-01-25T11:48:02Z</dcterms:modified>
</cp:coreProperties>
</file>