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563FBA32-75DE-4CB2-A93C-C7DA8461C30A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24" i="2"/>
  <c r="A16" i="2"/>
  <c r="A13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I5" i="2" l="1"/>
  <c r="A17" i="2"/>
  <c r="A21" i="2"/>
  <c r="A25" i="2"/>
  <c r="I7" i="2"/>
  <c r="A29" i="2"/>
  <c r="A32" i="2"/>
  <c r="A33" i="2"/>
  <c r="A37" i="2"/>
  <c r="I10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<sst xmlns="http://schemas.openxmlformats.org/spreadsheetml/2006/main" count="2092" uniqueCount="341">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</sst>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4152779.5</v>
      </c>
    </row>
    <row r="8" spans="1:3" ht="15" customHeight="1" x14ac:dyDescent="0.2">
      <c r="B8" s="5" t="s">
        <v>44</v>
      </c>
      <c r="C8" s="44">
        <v>0.188</v>
      </c>
    </row>
    <row r="9" spans="1:3" ht="15" customHeight="1" x14ac:dyDescent="0.2">
      <c r="B9" s="5" t="s">
        <v>43</v>
      </c>
      <c r="C9" s="45">
        <v>0.47</v>
      </c>
    </row>
    <row r="10" spans="1:3" ht="15" customHeight="1" x14ac:dyDescent="0.2">
      <c r="B10" s="5" t="s">
        <v>56</v>
      </c>
      <c r="C10" s="45">
        <v>0.39787429809570302</v>
      </c>
    </row>
    <row r="11" spans="1:3" ht="15" customHeight="1" x14ac:dyDescent="0.2">
      <c r="B11" s="5" t="s">
        <v>49</v>
      </c>
      <c r="C11" s="45">
        <v>0.251</v>
      </c>
    </row>
    <row r="12" spans="1:3" ht="15" customHeight="1" x14ac:dyDescent="0.2">
      <c r="B12" s="5" t="s">
        <v>41</v>
      </c>
      <c r="C12" s="45">
        <v>0.34</v>
      </c>
    </row>
    <row r="13" spans="1:3" ht="15" customHeight="1" x14ac:dyDescent="0.2">
      <c r="B13" s="5" t="s">
        <v>62</v>
      </c>
      <c r="C13" s="45">
        <v>0.53100000000000003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8.5299999999999987E-2</v>
      </c>
    </row>
    <row r="24" spans="1:3" ht="15" customHeight="1" x14ac:dyDescent="0.2">
      <c r="B24" s="15" t="s">
        <v>46</v>
      </c>
      <c r="C24" s="45">
        <v>0.48899999999999999</v>
      </c>
    </row>
    <row r="25" spans="1:3" ht="15" customHeight="1" x14ac:dyDescent="0.2">
      <c r="B25" s="15" t="s">
        <v>47</v>
      </c>
      <c r="C25" s="45">
        <v>0.35580000000000001</v>
      </c>
    </row>
    <row r="26" spans="1:3" ht="15" customHeight="1" x14ac:dyDescent="0.2">
      <c r="B26" s="15" t="s">
        <v>48</v>
      </c>
      <c r="C26" s="45">
        <v>0.1099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0.20667212370865701</v>
      </c>
    </row>
    <row r="30" spans="1:3" ht="14.25" customHeight="1" x14ac:dyDescent="0.2">
      <c r="B30" s="25" t="s">
        <v>63</v>
      </c>
      <c r="C30" s="99">
        <v>0.11137509658186601</v>
      </c>
    </row>
    <row r="31" spans="1:3" ht="14.25" customHeight="1" x14ac:dyDescent="0.2">
      <c r="B31" s="25" t="s">
        <v>10</v>
      </c>
      <c r="C31" s="99">
        <v>0.12654954789311601</v>
      </c>
    </row>
    <row r="32" spans="1:3" ht="14.25" customHeight="1" x14ac:dyDescent="0.2">
      <c r="B32" s="25" t="s">
        <v>11</v>
      </c>
      <c r="C32" s="99">
        <v>0.55540323181636098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26.654184062716901</v>
      </c>
    </row>
    <row r="38" spans="1:5" ht="15" customHeight="1" x14ac:dyDescent="0.2">
      <c r="B38" s="11" t="s">
        <v>35</v>
      </c>
      <c r="C38" s="43">
        <v>43.623031486157103</v>
      </c>
      <c r="D38" s="12"/>
      <c r="E38" s="13"/>
    </row>
    <row r="39" spans="1:5" ht="15" customHeight="1" x14ac:dyDescent="0.2">
      <c r="B39" s="11" t="s">
        <v>61</v>
      </c>
      <c r="C39" s="43">
        <v>58.356138238951203</v>
      </c>
      <c r="D39" s="12"/>
      <c r="E39" s="12"/>
    </row>
    <row r="40" spans="1:5" ht="15" customHeight="1" x14ac:dyDescent="0.2">
      <c r="B40" s="11" t="s">
        <v>36</v>
      </c>
      <c r="C40" s="100">
        <v>1.64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23.729724780000002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2.9392000000000001E-2</v>
      </c>
      <c r="D45" s="12"/>
    </row>
    <row r="46" spans="1:5" ht="15.75" customHeight="1" x14ac:dyDescent="0.2">
      <c r="B46" s="11" t="s">
        <v>51</v>
      </c>
      <c r="C46" s="45">
        <v>0.10240050000000001</v>
      </c>
      <c r="D46" s="12"/>
    </row>
    <row r="47" spans="1:5" ht="15.75" customHeight="1" x14ac:dyDescent="0.2">
      <c r="B47" s="11" t="s">
        <v>59</v>
      </c>
      <c r="C47" s="45">
        <v>0.39395839999999999</v>
      </c>
      <c r="D47" s="12"/>
      <c r="E47" s="13"/>
    </row>
    <row r="48" spans="1:5" ht="15" customHeight="1" x14ac:dyDescent="0.2">
      <c r="B48" s="11" t="s">
        <v>58</v>
      </c>
      <c r="C48" s="46">
        <v>0.47424909999999998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2.9</v>
      </c>
      <c r="D51" s="12"/>
    </row>
    <row r="52" spans="1:4" ht="15" customHeight="1" x14ac:dyDescent="0.2">
      <c r="B52" s="11" t="s">
        <v>13</v>
      </c>
      <c r="C52" s="100">
        <v>2.9</v>
      </c>
    </row>
    <row r="53" spans="1:4" ht="15.75" customHeight="1" x14ac:dyDescent="0.2">
      <c r="B53" s="11" t="s">
        <v>16</v>
      </c>
      <c r="C53" s="100">
        <v>2.9</v>
      </c>
    </row>
    <row r="54" spans="1:4" ht="15.75" customHeight="1" x14ac:dyDescent="0.2">
      <c r="B54" s="11" t="s">
        <v>14</v>
      </c>
      <c r="C54" s="100">
        <v>2.9</v>
      </c>
    </row>
    <row r="55" spans="1:4" ht="15.75" customHeight="1" x14ac:dyDescent="0.2">
      <c r="B55" s="11" t="s">
        <v>15</v>
      </c>
      <c r="C55" s="100">
        <v>2.9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2.0689655172413789E-2</v>
      </c>
    </row>
    <row r="59" spans="1:4" ht="15.75" customHeight="1" x14ac:dyDescent="0.2">
      <c r="B59" s="11" t="s">
        <v>40</v>
      </c>
      <c r="C59" s="45">
        <v>0.53084200000000004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29tioybS/6PnynLJaa3CUKsuyeZpj5Q0NeZrLciZU23hRPttiXbriWz/uMPkrhHKL9MsShu8f+oPMzXFJ7uC5Q==" saltValue="ReNE7Gdy79SUweukCaAK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0.190640951956145</v>
      </c>
      <c r="C2" s="98">
        <v>0.95</v>
      </c>
      <c r="D2" s="56">
        <v>37.913661484151682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42.521345352857793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99.033477395463237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0.3705821075861872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5.9075243365991098E-2</v>
      </c>
      <c r="C10" s="98">
        <v>0.95</v>
      </c>
      <c r="D10" s="56">
        <v>13.539057252878379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5.9075243365991098E-2</v>
      </c>
      <c r="C11" s="98">
        <v>0.95</v>
      </c>
      <c r="D11" s="56">
        <v>13.539057252878379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5.9075243365991098E-2</v>
      </c>
      <c r="C12" s="98">
        <v>0.95</v>
      </c>
      <c r="D12" s="56">
        <v>13.539057252878379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5.9075243365991098E-2</v>
      </c>
      <c r="C13" s="98">
        <v>0.95</v>
      </c>
      <c r="D13" s="56">
        <v>13.539057252878379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5.9075243365991098E-2</v>
      </c>
      <c r="C14" s="98">
        <v>0.95</v>
      </c>
      <c r="D14" s="56">
        <v>13.539057252878379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5.9075243365991098E-2</v>
      </c>
      <c r="C15" s="98">
        <v>0.95</v>
      </c>
      <c r="D15" s="56">
        <v>13.539057252878379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0.27829999072845568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0.13</v>
      </c>
      <c r="C18" s="98">
        <v>0.95</v>
      </c>
      <c r="D18" s="56">
        <v>2.377996240315416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2.377996240315416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0.30129679999999998</v>
      </c>
      <c r="C21" s="98">
        <v>0.95</v>
      </c>
      <c r="D21" s="56">
        <v>3.202185552868094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23.103382705538191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4.4606327668435339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7.6161503807199993E-2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4.6074999817732012E-2</v>
      </c>
      <c r="C27" s="98">
        <v>0.95</v>
      </c>
      <c r="D27" s="56">
        <v>19.540666812356982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0.59053003115999092</v>
      </c>
      <c r="C29" s="98">
        <v>0.95</v>
      </c>
      <c r="D29" s="56">
        <v>67.736851795235324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4.3271061521497272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4.2999999999999997E-2</v>
      </c>
      <c r="C32" s="98">
        <v>0.95</v>
      </c>
      <c r="D32" s="56">
        <v>0.54641342226979839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0.18614801410000001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8.7522201431810966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0.48301955497836302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EEHnQ3ONy76fbFiSJ4LDf4sLJ4xL0ZR8fovYPLTb2aH0RKj6RhAicqUHCDP7W8EFIlre9fLUzYHvtvaC+YhRBQ==" saltValue="2kXv2yn78/ZOoj9gHGzm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pGXHIgdxMuJ8xsHOCBDH3vRlI6psCQeNI62Yj9txht/KexrnmtH6L1Cr3Us4ra4ytyQb7M8F5OZjsF6SskjNEQ==" saltValue="vpDfNj253nOCEwSGbH3gz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DZO5Yf7xeQvVIx55EHIotZvlPn60h08xmkETSHw3O/m1eXO94CsYh0/zodzPlQbgR1frLzBPG7tmv8RiMvntHQ==" saltValue="iba8+a0oC1LED5OXVweRO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">
      <c r="A3" s="3" t="s">
        <v>6</v>
      </c>
      <c r="B3" s="21">
        <f>frac_mam_1month * 2.6</f>
        <v>0.28287672996521118</v>
      </c>
      <c r="C3" s="21">
        <f>frac_mam_1_5months * 2.6</f>
        <v>0.28287672996521118</v>
      </c>
      <c r="D3" s="21">
        <f>frac_mam_6_11months * 2.6</f>
        <v>0.389580428600311</v>
      </c>
      <c r="E3" s="21">
        <f>frac_mam_12_23months * 2.6</f>
        <v>0.35258413851261117</v>
      </c>
      <c r="F3" s="21">
        <f>frac_mam_24_59months * 2.6</f>
        <v>0.24604986310005192</v>
      </c>
    </row>
    <row r="4" spans="1:6" ht="15.75" customHeight="1" x14ac:dyDescent="0.2">
      <c r="A4" s="3" t="s">
        <v>207</v>
      </c>
      <c r="B4" s="21">
        <f>frac_sam_1month * 2.6</f>
        <v>0.23901847004890453</v>
      </c>
      <c r="C4" s="21">
        <f>frac_sam_1_5months * 2.6</f>
        <v>0.23901847004890453</v>
      </c>
      <c r="D4" s="21">
        <f>frac_sam_6_11months * 2.6</f>
        <v>0.26479003578424543</v>
      </c>
      <c r="E4" s="21">
        <f>frac_sam_12_23months * 2.6</f>
        <v>0.16372712701559056</v>
      </c>
      <c r="F4" s="21">
        <f>frac_sam_24_59months * 2.6</f>
        <v>9.3341473489999813E-2</v>
      </c>
    </row>
  </sheetData>
  <sheetProtection algorithmName="SHA-512" hashValue="ljjxY+O2Ys5T1xshCz9sQWv17sOTj5n5B0JXw6X10to2xjTXxxy259wzrpZ2VA6zlFoQ5AJM4H878geWQVWCXQ==" saltValue="E/ZZVN8A+E0ClutFSkDr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0.188</v>
      </c>
      <c r="E2" s="60">
        <f>food_insecure</f>
        <v>0.188</v>
      </c>
      <c r="F2" s="60">
        <f>food_insecure</f>
        <v>0.188</v>
      </c>
      <c r="G2" s="60">
        <f>food_insecure</f>
        <v>0.188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0.188</v>
      </c>
      <c r="F5" s="60">
        <f>food_insecure</f>
        <v>0.188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0.188</v>
      </c>
      <c r="F8" s="60">
        <f>food_insecure</f>
        <v>0.188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0.188</v>
      </c>
      <c r="F9" s="60">
        <f>food_insecure</f>
        <v>0.188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0.34</v>
      </c>
      <c r="E10" s="60">
        <f>IF(ISBLANK(comm_deliv), frac_children_health_facility,1)</f>
        <v>0.34</v>
      </c>
      <c r="F10" s="60">
        <f>IF(ISBLANK(comm_deliv), frac_children_health_facility,1)</f>
        <v>0.34</v>
      </c>
      <c r="G10" s="60">
        <f>IF(ISBLANK(comm_deliv), frac_children_health_facility,1)</f>
        <v>0.34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0.188</v>
      </c>
      <c r="I15" s="60">
        <f>food_insecure</f>
        <v>0.188</v>
      </c>
      <c r="J15" s="60">
        <f>food_insecure</f>
        <v>0.188</v>
      </c>
      <c r="K15" s="60">
        <f>food_insecure</f>
        <v>0.188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0.251</v>
      </c>
      <c r="I18" s="60">
        <f>frac_PW_health_facility</f>
        <v>0.251</v>
      </c>
      <c r="J18" s="60">
        <f>frac_PW_health_facility</f>
        <v>0.251</v>
      </c>
      <c r="K18" s="60">
        <f>frac_PW_health_facility</f>
        <v>0.251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0.47</v>
      </c>
      <c r="I19" s="60">
        <f>frac_malaria_risk</f>
        <v>0.47</v>
      </c>
      <c r="J19" s="60">
        <f>frac_malaria_risk</f>
        <v>0.47</v>
      </c>
      <c r="K19" s="60">
        <f>frac_malaria_risk</f>
        <v>0.47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0.53100000000000003</v>
      </c>
      <c r="M24" s="60">
        <f>famplan_unmet_need</f>
        <v>0.53100000000000003</v>
      </c>
      <c r="N24" s="60">
        <f>famplan_unmet_need</f>
        <v>0.53100000000000003</v>
      </c>
      <c r="O24" s="60">
        <f>famplan_unmet_need</f>
        <v>0.53100000000000003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0.31881351664428714</v>
      </c>
      <c r="M25" s="60">
        <f>(1-food_insecure)*(0.49)+food_insecure*(0.7)</f>
        <v>0.52947999999999995</v>
      </c>
      <c r="N25" s="60">
        <f>(1-food_insecure)*(0.49)+food_insecure*(0.7)</f>
        <v>0.52947999999999995</v>
      </c>
      <c r="O25" s="60">
        <f>(1-food_insecure)*(0.49)+food_insecure*(0.7)</f>
        <v>0.52947999999999995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0.13663436427612308</v>
      </c>
      <c r="M26" s="60">
        <f>(1-food_insecure)*(0.21)+food_insecure*(0.3)</f>
        <v>0.22692000000000001</v>
      </c>
      <c r="N26" s="60">
        <f>(1-food_insecure)*(0.21)+food_insecure*(0.3)</f>
        <v>0.22692000000000001</v>
      </c>
      <c r="O26" s="60">
        <f>(1-food_insecure)*(0.21)+food_insecure*(0.3)</f>
        <v>0.22692000000000001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0.14667782098388674</v>
      </c>
      <c r="M27" s="60">
        <f>(1-food_insecure)*(0.3)</f>
        <v>0.24360000000000001</v>
      </c>
      <c r="N27" s="60">
        <f>(1-food_insecure)*(0.3)</f>
        <v>0.24360000000000001</v>
      </c>
      <c r="O27" s="60">
        <f>(1-food_insecure)*(0.3)</f>
        <v>0.24360000000000001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0.39787429809570307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0.47</v>
      </c>
      <c r="D34" s="60">
        <f t="shared" si="3"/>
        <v>0.47</v>
      </c>
      <c r="E34" s="60">
        <f t="shared" si="3"/>
        <v>0.47</v>
      </c>
      <c r="F34" s="60">
        <f t="shared" si="3"/>
        <v>0.47</v>
      </c>
      <c r="G34" s="60">
        <f t="shared" si="3"/>
        <v>0.47</v>
      </c>
      <c r="H34" s="60">
        <f t="shared" si="3"/>
        <v>0.47</v>
      </c>
      <c r="I34" s="60">
        <f t="shared" si="3"/>
        <v>0.47</v>
      </c>
      <c r="J34" s="60">
        <f t="shared" si="3"/>
        <v>0.47</v>
      </c>
      <c r="K34" s="60">
        <f t="shared" si="3"/>
        <v>0.47</v>
      </c>
      <c r="L34" s="60">
        <f t="shared" si="3"/>
        <v>0.47</v>
      </c>
      <c r="M34" s="60">
        <f t="shared" si="3"/>
        <v>0.47</v>
      </c>
      <c r="N34" s="60">
        <f t="shared" si="3"/>
        <v>0.47</v>
      </c>
      <c r="O34" s="60">
        <f t="shared" si="3"/>
        <v>0.47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qb3T7DouQRbmDiVav3DaIpcHlRXvwSj3sf9pfPVL15+jWHzE8YZRKJ9DsR8gQBXiRF4BwPOULWqVd4L0m5w9WQ==" saltValue="C46QmWEaSTg7Pcdx0ada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cBqezZBFxB5KnAZLV99l6uYpfPZYuJ76ClAF4shXXT9P+v7QQxxEsLpzFXDUY/TmAJ4M+GO6yt8mPIuhUSAl8g==" saltValue="n7KbvOG/J2YuOQByqi88p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H3xTp3LpTftZzpergfC0Z8rLMGfPvVR3HfdoFShvB8NhIPl31BtFmtu9v9T5Eq1rFymRj4GvjWwovh9394pN0w==" saltValue="GKoqcL6Dsx5OwhbgJDwfV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j554eu7ewrGuWZNskOQns6D+jJTzfiHAaIjStsk+O6greVFhKRRpSLpX98XrLnMyEkXOEAukFkOPA4Tx3/zkRQ==" saltValue="AZ1+DGKSCdg3/McBbkGb1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pmR4mMn+ntAhBfsVM28nWpIdTIYEY8XmZhndMgwE2+fQB4+ksOvzqG5pBNR3ZlsXUIxYjmLVpkpBpIhwho/9g==" saltValue="ZsloQ7mCDpEOXpVcJzVhZ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vFHWQjs5YUelnaEO0qu/ogD/dgLAwkDgEZDelKhu7X3dFB41hDUKV04GzuQ9vprvDSdnlmh+WiLn3mKw4VSFA==" saltValue="FVkJKrPFdIkYU0j+Lg85F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885346.67979999993</v>
      </c>
      <c r="C2" s="49">
        <v>1616000</v>
      </c>
      <c r="D2" s="49">
        <v>2887000</v>
      </c>
      <c r="E2" s="49">
        <v>2187000</v>
      </c>
      <c r="F2" s="49">
        <v>1246000</v>
      </c>
      <c r="G2" s="17">
        <f t="shared" ref="G2:G11" si="0">C2+D2+E2+F2</f>
        <v>7936000</v>
      </c>
      <c r="H2" s="17">
        <f t="shared" ref="H2:H11" si="1">(B2 + stillbirth*B2/(1000-stillbirth))/(1-abortion)</f>
        <v>1030529.9649457046</v>
      </c>
      <c r="I2" s="17">
        <f t="shared" ref="I2:I11" si="2">G2-H2</f>
        <v>6905470.0350542953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886641.44960000005</v>
      </c>
      <c r="C3" s="50">
        <v>1645000</v>
      </c>
      <c r="D3" s="50">
        <v>2912000</v>
      </c>
      <c r="E3" s="50">
        <v>2280000</v>
      </c>
      <c r="F3" s="50">
        <v>1326000</v>
      </c>
      <c r="G3" s="17">
        <f t="shared" si="0"/>
        <v>8163000</v>
      </c>
      <c r="H3" s="17">
        <f t="shared" si="1"/>
        <v>1032037.0571470422</v>
      </c>
      <c r="I3" s="17">
        <f t="shared" si="2"/>
        <v>7130962.9428529581</v>
      </c>
    </row>
    <row r="4" spans="1:9" ht="15.75" customHeight="1" x14ac:dyDescent="0.2">
      <c r="A4" s="5">
        <f t="shared" si="3"/>
        <v>2023</v>
      </c>
      <c r="B4" s="49">
        <v>887133.4585999999</v>
      </c>
      <c r="C4" s="50">
        <v>1676000</v>
      </c>
      <c r="D4" s="50">
        <v>2936000</v>
      </c>
      <c r="E4" s="50">
        <v>2370000</v>
      </c>
      <c r="F4" s="50">
        <v>1409000</v>
      </c>
      <c r="G4" s="17">
        <f t="shared" si="0"/>
        <v>8391000</v>
      </c>
      <c r="H4" s="17">
        <f t="shared" si="1"/>
        <v>1032609.7480816685</v>
      </c>
      <c r="I4" s="17">
        <f t="shared" si="2"/>
        <v>7358390.2519183317</v>
      </c>
    </row>
    <row r="5" spans="1:9" ht="15.75" customHeight="1" x14ac:dyDescent="0.2">
      <c r="A5" s="5">
        <f t="shared" si="3"/>
        <v>2024</v>
      </c>
      <c r="B5" s="49">
        <v>886853.03519999993</v>
      </c>
      <c r="C5" s="50">
        <v>1709000</v>
      </c>
      <c r="D5" s="50">
        <v>2962000</v>
      </c>
      <c r="E5" s="50">
        <v>2453000</v>
      </c>
      <c r="F5" s="50">
        <v>1496000</v>
      </c>
      <c r="G5" s="17">
        <f t="shared" si="0"/>
        <v>8620000</v>
      </c>
      <c r="H5" s="17">
        <f t="shared" si="1"/>
        <v>1032283.3395423184</v>
      </c>
      <c r="I5" s="17">
        <f t="shared" si="2"/>
        <v>7587716.6604576819</v>
      </c>
    </row>
    <row r="6" spans="1:9" ht="15.75" customHeight="1" x14ac:dyDescent="0.2">
      <c r="A6" s="5">
        <f t="shared" si="3"/>
        <v>2025</v>
      </c>
      <c r="B6" s="49">
        <v>885775.473</v>
      </c>
      <c r="C6" s="50">
        <v>1744000</v>
      </c>
      <c r="D6" s="50">
        <v>2997000</v>
      </c>
      <c r="E6" s="50">
        <v>2526000</v>
      </c>
      <c r="F6" s="50">
        <v>1583000</v>
      </c>
      <c r="G6" s="17">
        <f t="shared" si="0"/>
        <v>8850000</v>
      </c>
      <c r="H6" s="17">
        <f t="shared" si="1"/>
        <v>1031029.0736580847</v>
      </c>
      <c r="I6" s="17">
        <f t="shared" si="2"/>
        <v>7818970.9263419155</v>
      </c>
    </row>
    <row r="7" spans="1:9" ht="15.75" customHeight="1" x14ac:dyDescent="0.2">
      <c r="A7" s="5">
        <f t="shared" si="3"/>
        <v>2026</v>
      </c>
      <c r="B7" s="49">
        <v>886691.03399999999</v>
      </c>
      <c r="C7" s="50">
        <v>1779000</v>
      </c>
      <c r="D7" s="50">
        <v>3039000</v>
      </c>
      <c r="E7" s="50">
        <v>2589000</v>
      </c>
      <c r="F7" s="50">
        <v>1668000</v>
      </c>
      <c r="G7" s="17">
        <f t="shared" si="0"/>
        <v>9075000</v>
      </c>
      <c r="H7" s="17">
        <f t="shared" si="1"/>
        <v>1032094.7726286267</v>
      </c>
      <c r="I7" s="17">
        <f t="shared" si="2"/>
        <v>8042905.2273713732</v>
      </c>
    </row>
    <row r="8" spans="1:9" ht="15.75" customHeight="1" x14ac:dyDescent="0.2">
      <c r="A8" s="5">
        <f t="shared" si="3"/>
        <v>2027</v>
      </c>
      <c r="B8" s="49">
        <v>886925.00899999996</v>
      </c>
      <c r="C8" s="50">
        <v>1815000</v>
      </c>
      <c r="D8" s="50">
        <v>3088000</v>
      </c>
      <c r="E8" s="50">
        <v>2644000</v>
      </c>
      <c r="F8" s="50">
        <v>1754000</v>
      </c>
      <c r="G8" s="17">
        <f t="shared" si="0"/>
        <v>9301000</v>
      </c>
      <c r="H8" s="17">
        <f t="shared" si="1"/>
        <v>1032367.1159423246</v>
      </c>
      <c r="I8" s="17">
        <f t="shared" si="2"/>
        <v>8268632.8840576755</v>
      </c>
    </row>
    <row r="9" spans="1:9" ht="15.75" customHeight="1" x14ac:dyDescent="0.2">
      <c r="A9" s="5">
        <f t="shared" si="3"/>
        <v>2028</v>
      </c>
      <c r="B9" s="49">
        <v>886430.37199999997</v>
      </c>
      <c r="C9" s="50">
        <v>1850000</v>
      </c>
      <c r="D9" s="50">
        <v>3143000</v>
      </c>
      <c r="E9" s="50">
        <v>2691000</v>
      </c>
      <c r="F9" s="50">
        <v>1838000</v>
      </c>
      <c r="G9" s="17">
        <f t="shared" si="0"/>
        <v>9522000</v>
      </c>
      <c r="H9" s="17">
        <f t="shared" si="1"/>
        <v>1031791.3660559795</v>
      </c>
      <c r="I9" s="17">
        <f t="shared" si="2"/>
        <v>8490208.6339440197</v>
      </c>
    </row>
    <row r="10" spans="1:9" ht="15.75" customHeight="1" x14ac:dyDescent="0.2">
      <c r="A10" s="5">
        <f t="shared" si="3"/>
        <v>2029</v>
      </c>
      <c r="B10" s="49">
        <v>885237.35600000003</v>
      </c>
      <c r="C10" s="50">
        <v>1883000</v>
      </c>
      <c r="D10" s="50">
        <v>3203000</v>
      </c>
      <c r="E10" s="50">
        <v>2731000</v>
      </c>
      <c r="F10" s="50">
        <v>1926000</v>
      </c>
      <c r="G10" s="17">
        <f t="shared" si="0"/>
        <v>9743000</v>
      </c>
      <c r="H10" s="17">
        <f t="shared" si="1"/>
        <v>1030402.7137181887</v>
      </c>
      <c r="I10" s="17">
        <f t="shared" si="2"/>
        <v>8712597.2862818111</v>
      </c>
    </row>
    <row r="11" spans="1:9" ht="15.75" customHeight="1" x14ac:dyDescent="0.2">
      <c r="A11" s="5">
        <f t="shared" si="3"/>
        <v>2030</v>
      </c>
      <c r="B11" s="49">
        <v>883302.29500000004</v>
      </c>
      <c r="C11" s="50">
        <v>1911000</v>
      </c>
      <c r="D11" s="50">
        <v>3264000</v>
      </c>
      <c r="E11" s="50">
        <v>2767000</v>
      </c>
      <c r="F11" s="50">
        <v>2014000</v>
      </c>
      <c r="G11" s="17">
        <f t="shared" si="0"/>
        <v>9956000</v>
      </c>
      <c r="H11" s="17">
        <f t="shared" si="1"/>
        <v>1028150.332374252</v>
      </c>
      <c r="I11" s="17">
        <f t="shared" si="2"/>
        <v>8927849.6676257476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Fq2Pqk0FiAUrZ6sV99RCxHkX3+O2fJQR5I4N1i0ECBewATI1YOHpUU1Ghy1PTGDabDlu2Lp0eW0UZyAzyc64w==" saltValue="r1G2Bc0YyvVkAxZBQZnqa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lI4gQT6BKgqvczvDe+5iS4btuQQ/svteekAF8x9UC0jrwBE9aVFBYpAFGGbmD9J+7iP0bZGf9kEAqLOsCJUtpw==" saltValue="+2FFa/SdtloTQXNBV9l98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TtMx1k/I1Nm7LdQ32XVwIoohJTreQ04Ax2FbyRfMsDR+eDB+O8pShp5xTNUlOyqqEK5N2OhpuOjoc3h0Ihuo1A==" saltValue="EBLquQJ9uEc7+IPlfj4G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8YVW3JNSoNZOWMDG8Sop4QGUHaJHiyQFjMoYMchg4rDq2ZfGI8n2eafc7NGl+tpdzqNXpry+YYdnYQm7MotsSQ==" saltValue="5xJa9/D0HbaaM9pUSRtL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q4RqfPhG00REhHnNe/k11o0SurY/riro1nM+H3Las4Yg1kgk8GAT/nM47ttQ8CK9DoLgR+ot1/L5i72KdHO+Vg==" saltValue="/8ms+wzn2yCRW3osFAxb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eTui03GUOfyloy5y7hKJosgczIEnvwBO9LSdkjK6ayS/KAt9Hlub6KbeUPia8G4iudNXxT74eaYBsAJirY60dQ==" saltValue="PDjUNP/1AFzWEbHbpT/K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dlj3VQDgowLX5ow/nzRXlydkEKJK8n820F2PgSe8P+eM71lPyPA6fcgQpm6E+g6KBOILMuhVPTyu7AVPFf/VgA==" saltValue="psNwhvRvSDBHJY4eVXLa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bToFf13z4KKTWV+HfiNRGe426zU/iMABBOK8PiCFzOHQOuAx3Pp8GksLpSr6KYDbothtNms2XJiiauxH7S/OFA==" saltValue="Gq9AgMh1ZExVVscSK7NeV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49CFTMmCgHwADvnwv606bG2TIu0rATsHwedHGBIH7PF17ME4zf0zc5qtmXxjMbiD7DqjEO30tTsFJSMX8139iw==" saltValue="gj1M5iQnw+jTEXc8isje2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ki0o1PLZ4jSFr5gbZWjxHQ+MvX1FVf8MtjqVUWbDmUvwZzJzd/CRhEWqRWq/Y81v7IB0AHf03/rgHaqwaRPm+A==" saltValue="NZxGtI+RLGn8CEGOEgrHC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1.0467640526522441E-2</v>
      </c>
    </row>
    <row r="4" spans="1:8" ht="15.75" customHeight="1" x14ac:dyDescent="0.2">
      <c r="B4" s="19" t="s">
        <v>97</v>
      </c>
      <c r="C4" s="101">
        <v>0.1447940958960211</v>
      </c>
    </row>
    <row r="5" spans="1:8" ht="15.75" customHeight="1" x14ac:dyDescent="0.2">
      <c r="B5" s="19" t="s">
        <v>95</v>
      </c>
      <c r="C5" s="101">
        <v>7.1393503800682726E-2</v>
      </c>
    </row>
    <row r="6" spans="1:8" ht="15.75" customHeight="1" x14ac:dyDescent="0.2">
      <c r="B6" s="19" t="s">
        <v>91</v>
      </c>
      <c r="C6" s="101">
        <v>0.2473048367887892</v>
      </c>
    </row>
    <row r="7" spans="1:8" ht="15.75" customHeight="1" x14ac:dyDescent="0.2">
      <c r="B7" s="19" t="s">
        <v>96</v>
      </c>
      <c r="C7" s="101">
        <v>0.34136309247609009</v>
      </c>
    </row>
    <row r="8" spans="1:8" ht="15.75" customHeight="1" x14ac:dyDescent="0.2">
      <c r="B8" s="19" t="s">
        <v>98</v>
      </c>
      <c r="C8" s="101">
        <v>1.6030576094786569E-2</v>
      </c>
    </row>
    <row r="9" spans="1:8" ht="15.75" customHeight="1" x14ac:dyDescent="0.2">
      <c r="B9" s="19" t="s">
        <v>92</v>
      </c>
      <c r="C9" s="101">
        <v>9.5747714538464132E-2</v>
      </c>
    </row>
    <row r="10" spans="1:8" ht="15.75" customHeight="1" x14ac:dyDescent="0.2">
      <c r="B10" s="19" t="s">
        <v>94</v>
      </c>
      <c r="C10" s="101">
        <v>7.2898539878643864E-2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0.1525534106144821</v>
      </c>
      <c r="D14" s="55">
        <v>0.1525534106144821</v>
      </c>
      <c r="E14" s="55">
        <v>0.1525534106144821</v>
      </c>
      <c r="F14" s="55">
        <v>0.1525534106144821</v>
      </c>
    </row>
    <row r="15" spans="1:8" ht="15.75" customHeight="1" x14ac:dyDescent="0.2">
      <c r="B15" s="19" t="s">
        <v>102</v>
      </c>
      <c r="C15" s="101">
        <v>0.28364087261019039</v>
      </c>
      <c r="D15" s="101">
        <v>0.28364087261019039</v>
      </c>
      <c r="E15" s="101">
        <v>0.28364087261019039</v>
      </c>
      <c r="F15" s="101">
        <v>0.28364087261019039</v>
      </c>
    </row>
    <row r="16" spans="1:8" ht="15.75" customHeight="1" x14ac:dyDescent="0.2">
      <c r="B16" s="19" t="s">
        <v>2</v>
      </c>
      <c r="C16" s="101">
        <v>3.2342629919059E-2</v>
      </c>
      <c r="D16" s="101">
        <v>3.2342629919059E-2</v>
      </c>
      <c r="E16" s="101">
        <v>3.2342629919059E-2</v>
      </c>
      <c r="F16" s="101">
        <v>3.2342629919059E-2</v>
      </c>
    </row>
    <row r="17" spans="1:8" ht="15.75" customHeight="1" x14ac:dyDescent="0.2">
      <c r="B17" s="19" t="s">
        <v>90</v>
      </c>
      <c r="C17" s="101">
        <v>2.903019108606685E-3</v>
      </c>
      <c r="D17" s="101">
        <v>2.903019108606685E-3</v>
      </c>
      <c r="E17" s="101">
        <v>2.903019108606685E-3</v>
      </c>
      <c r="F17" s="101">
        <v>2.903019108606685E-3</v>
      </c>
    </row>
    <row r="18" spans="1:8" ht="15.75" customHeight="1" x14ac:dyDescent="0.2">
      <c r="B18" s="19" t="s">
        <v>3</v>
      </c>
      <c r="C18" s="101">
        <v>1.2333341816234781E-4</v>
      </c>
      <c r="D18" s="101">
        <v>1.2333341816234781E-4</v>
      </c>
      <c r="E18" s="101">
        <v>1.2333341816234781E-4</v>
      </c>
      <c r="F18" s="101">
        <v>1.2333341816234781E-4</v>
      </c>
    </row>
    <row r="19" spans="1:8" ht="15.75" customHeight="1" x14ac:dyDescent="0.2">
      <c r="B19" s="19" t="s">
        <v>101</v>
      </c>
      <c r="C19" s="101">
        <v>5.0555882446855743E-2</v>
      </c>
      <c r="D19" s="101">
        <v>5.0555882446855743E-2</v>
      </c>
      <c r="E19" s="101">
        <v>5.0555882446855743E-2</v>
      </c>
      <c r="F19" s="101">
        <v>5.0555882446855743E-2</v>
      </c>
    </row>
    <row r="20" spans="1:8" ht="15.75" customHeight="1" x14ac:dyDescent="0.2">
      <c r="B20" s="19" t="s">
        <v>79</v>
      </c>
      <c r="C20" s="101">
        <v>2.0282188935596621E-3</v>
      </c>
      <c r="D20" s="101">
        <v>2.0282188935596621E-3</v>
      </c>
      <c r="E20" s="101">
        <v>2.0282188935596621E-3</v>
      </c>
      <c r="F20" s="101">
        <v>2.0282188935596621E-3</v>
      </c>
    </row>
    <row r="21" spans="1:8" ht="15.75" customHeight="1" x14ac:dyDescent="0.2">
      <c r="B21" s="19" t="s">
        <v>88</v>
      </c>
      <c r="C21" s="101">
        <v>0.14736046843876471</v>
      </c>
      <c r="D21" s="101">
        <v>0.14736046843876471</v>
      </c>
      <c r="E21" s="101">
        <v>0.14736046843876471</v>
      </c>
      <c r="F21" s="101">
        <v>0.14736046843876471</v>
      </c>
    </row>
    <row r="22" spans="1:8" ht="15.75" customHeight="1" x14ac:dyDescent="0.2">
      <c r="B22" s="19" t="s">
        <v>99</v>
      </c>
      <c r="C22" s="101">
        <v>0.32849216455031921</v>
      </c>
      <c r="D22" s="101">
        <v>0.32849216455031921</v>
      </c>
      <c r="E22" s="101">
        <v>0.32849216455031921</v>
      </c>
      <c r="F22" s="101">
        <v>0.32849216455031921</v>
      </c>
    </row>
    <row r="23" spans="1:8" ht="15.75" customHeight="1" x14ac:dyDescent="0.2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4.5856951999999999E-2</v>
      </c>
    </row>
    <row r="27" spans="1:8" ht="15.75" customHeight="1" x14ac:dyDescent="0.2">
      <c r="B27" s="19" t="s">
        <v>89</v>
      </c>
      <c r="C27" s="101">
        <v>2.7671261999999999E-2</v>
      </c>
    </row>
    <row r="28" spans="1:8" ht="15.75" customHeight="1" x14ac:dyDescent="0.2">
      <c r="B28" s="19" t="s">
        <v>103</v>
      </c>
      <c r="C28" s="101">
        <v>0.19152286900000001</v>
      </c>
    </row>
    <row r="29" spans="1:8" ht="15.75" customHeight="1" x14ac:dyDescent="0.2">
      <c r="B29" s="19" t="s">
        <v>86</v>
      </c>
      <c r="C29" s="101">
        <v>0.15015504499999999</v>
      </c>
    </row>
    <row r="30" spans="1:8" ht="15.75" customHeight="1" x14ac:dyDescent="0.2">
      <c r="B30" s="19" t="s">
        <v>4</v>
      </c>
      <c r="C30" s="101">
        <v>5.0148384999999997E-2</v>
      </c>
    </row>
    <row r="31" spans="1:8" ht="15.75" customHeight="1" x14ac:dyDescent="0.2">
      <c r="B31" s="19" t="s">
        <v>80</v>
      </c>
      <c r="C31" s="101">
        <v>3.0652005E-2</v>
      </c>
    </row>
    <row r="32" spans="1:8" ht="15.75" customHeight="1" x14ac:dyDescent="0.2">
      <c r="B32" s="19" t="s">
        <v>85</v>
      </c>
      <c r="C32" s="101">
        <v>8.6489898999999995E-2</v>
      </c>
    </row>
    <row r="33" spans="2:3" ht="15.75" customHeight="1" x14ac:dyDescent="0.2">
      <c r="B33" s="19" t="s">
        <v>100</v>
      </c>
      <c r="C33" s="101">
        <v>0.168218437</v>
      </c>
    </row>
    <row r="34" spans="2:3" ht="15.75" customHeight="1" x14ac:dyDescent="0.2">
      <c r="B34" s="19" t="s">
        <v>87</v>
      </c>
      <c r="C34" s="101">
        <v>0.24928514500000001</v>
      </c>
    </row>
    <row r="35" spans="2:3" ht="15.75" customHeight="1" x14ac:dyDescent="0.2">
      <c r="B35" s="27" t="s">
        <v>60</v>
      </c>
      <c r="C35" s="48">
        <f>SUM(C26:C34)</f>
        <v>0.99999999899999992</v>
      </c>
    </row>
  </sheetData>
  <sheetProtection algorithmName="SHA-512" hashValue="2wj/HvG9IfNoNw1sCQ0VwM6x6XBnaI2TjD8LH5eq0LRxDJBIVWEW5QpMS5bfDxXGnDC80do7rlfW/TY1gPw8+A==" saltValue="LU4sd985JluDS9xkp7GVX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0.42782973644226774</v>
      </c>
      <c r="D2" s="52">
        <f>IFERROR(1-_xlfn.NORM.DIST(_xlfn.NORM.INV(SUM(D4:D5), 0, 1) + 1, 0, 1, TRUE), "")</f>
        <v>0.42782973644226774</v>
      </c>
      <c r="E2" s="52">
        <f>IFERROR(1-_xlfn.NORM.DIST(_xlfn.NORM.INV(SUM(E4:E5), 0, 1) + 1, 0, 1, TRUE), "")</f>
        <v>0.34990424191101321</v>
      </c>
      <c r="F2" s="52">
        <f>IFERROR(1-_xlfn.NORM.DIST(_xlfn.NORM.INV(SUM(F4:F5), 0, 1) + 1, 0, 1, TRUE), "")</f>
        <v>0.20938721371232405</v>
      </c>
      <c r="G2" s="52">
        <f>IFERROR(1-_xlfn.NORM.DIST(_xlfn.NORM.INV(SUM(G4:G5), 0, 1) + 1, 0, 1, TRUE), "")</f>
        <v>0.12626395067250185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0.36551958921462324</v>
      </c>
      <c r="D3" s="52">
        <f>IFERROR(_xlfn.NORM.DIST(_xlfn.NORM.INV(SUM(D4:D5), 0, 1) + 1, 0, 1, TRUE) - SUM(D4:D5), "")</f>
        <v>0.36551958921462324</v>
      </c>
      <c r="E3" s="52">
        <f>IFERROR(_xlfn.NORM.DIST(_xlfn.NORM.INV(SUM(E4:E5), 0, 1) + 1, 0, 1, TRUE) - SUM(E4:E5), "")</f>
        <v>0.38062717492238679</v>
      </c>
      <c r="F3" s="52">
        <f>IFERROR(_xlfn.NORM.DIST(_xlfn.NORM.INV(SUM(F4:F5), 0, 1) + 1, 0, 1, TRUE) - SUM(F4:F5), "")</f>
        <v>0.36652652847231493</v>
      </c>
      <c r="G3" s="52">
        <f>IFERROR(_xlfn.NORM.DIST(_xlfn.NORM.INV(SUM(G4:G5), 0, 1) + 1, 0, 1, TRUE) - SUM(G4:G5), "")</f>
        <v>0.31639512935603209</v>
      </c>
    </row>
    <row r="4" spans="1:15" ht="15.75" customHeight="1" x14ac:dyDescent="0.2">
      <c r="B4" s="5" t="s">
        <v>110</v>
      </c>
      <c r="C4" s="45">
        <v>0.113363817334175</v>
      </c>
      <c r="D4" s="53">
        <v>0.113363817334175</v>
      </c>
      <c r="E4" s="53">
        <v>0.15989740192890201</v>
      </c>
      <c r="F4" s="53">
        <v>0.214758396148682</v>
      </c>
      <c r="G4" s="53">
        <v>0.27542984485626198</v>
      </c>
    </row>
    <row r="5" spans="1:15" ht="15.75" customHeight="1" x14ac:dyDescent="0.2">
      <c r="B5" s="5" t="s">
        <v>106</v>
      </c>
      <c r="C5" s="45">
        <v>9.3286857008934007E-2</v>
      </c>
      <c r="D5" s="53">
        <v>9.3286857008934007E-2</v>
      </c>
      <c r="E5" s="53">
        <v>0.109571181237698</v>
      </c>
      <c r="F5" s="53">
        <v>0.20932786166667899</v>
      </c>
      <c r="G5" s="53">
        <v>0.28191107511520402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0.43605474511943898</v>
      </c>
      <c r="D8" s="52">
        <f>IFERROR(1-_xlfn.NORM.DIST(_xlfn.NORM.INV(SUM(D10:D11), 0, 1) + 1, 0, 1, TRUE), "")</f>
        <v>0.43605474511943898</v>
      </c>
      <c r="E8" s="52">
        <f>IFERROR(1-_xlfn.NORM.DIST(_xlfn.NORM.INV(SUM(E10:E11), 0, 1) + 1, 0, 1, TRUE), "")</f>
        <v>0.37040133979334855</v>
      </c>
      <c r="F8" s="52">
        <f>IFERROR(1-_xlfn.NORM.DIST(_xlfn.NORM.INV(SUM(F10:F11), 0, 1) + 1, 0, 1, TRUE), "")</f>
        <v>0.43908074198567082</v>
      </c>
      <c r="G8" s="52">
        <f>IFERROR(1-_xlfn.NORM.DIST(_xlfn.NORM.INV(SUM(G10:G11), 0, 1) + 1, 0, 1, TRUE), "")</f>
        <v>0.54928895687384993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0.36321633179820884</v>
      </c>
      <c r="D9" s="52">
        <f>IFERROR(_xlfn.NORM.DIST(_xlfn.NORM.INV(SUM(D10:D11), 0, 1) + 1, 0, 1, TRUE) - SUM(D10:D11), "")</f>
        <v>0.36321633179820884</v>
      </c>
      <c r="E9" s="52">
        <f>IFERROR(_xlfn.NORM.DIST(_xlfn.NORM.INV(SUM(E10:E11), 0, 1) + 1, 0, 1, TRUE) - SUM(E10:E11), "")</f>
        <v>0.37791771236643745</v>
      </c>
      <c r="F9" s="52">
        <f>IFERROR(_xlfn.NORM.DIST(_xlfn.NORM.INV(SUM(F10:F11), 0, 1) + 1, 0, 1, TRUE) - SUM(F10:F11), "")</f>
        <v>0.36233800204194389</v>
      </c>
      <c r="G9" s="52">
        <f>IFERROR(_xlfn.NORM.DIST(_xlfn.NORM.INV(SUM(G10:G11), 0, 1) + 1, 0, 1, TRUE) - SUM(G10:G11), "")</f>
        <v>0.32017591366843789</v>
      </c>
    </row>
    <row r="10" spans="1:15" ht="15.75" customHeight="1" x14ac:dyDescent="0.2">
      <c r="B10" s="5" t="s">
        <v>107</v>
      </c>
      <c r="C10" s="45">
        <v>0.108798742294312</v>
      </c>
      <c r="D10" s="53">
        <v>0.108798742294312</v>
      </c>
      <c r="E10" s="53">
        <v>0.149838626384735</v>
      </c>
      <c r="F10" s="53">
        <v>0.13560928404331199</v>
      </c>
      <c r="G10" s="53">
        <v>9.4634562730789198E-2</v>
      </c>
    </row>
    <row r="11" spans="1:15" ht="15.75" customHeight="1" x14ac:dyDescent="0.2">
      <c r="B11" s="5" t="s">
        <v>119</v>
      </c>
      <c r="C11" s="45">
        <v>9.1930180788040203E-2</v>
      </c>
      <c r="D11" s="53">
        <v>9.1930180788040203E-2</v>
      </c>
      <c r="E11" s="53">
        <v>0.101842321455479</v>
      </c>
      <c r="F11" s="53">
        <v>6.2971971929073292E-2</v>
      </c>
      <c r="G11" s="53">
        <v>3.5900566726923003E-2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0.97213777649999999</v>
      </c>
      <c r="D14" s="54">
        <v>0.97637391212799995</v>
      </c>
      <c r="E14" s="54">
        <v>0.97637391212799995</v>
      </c>
      <c r="F14" s="54">
        <v>0.93586611214799997</v>
      </c>
      <c r="G14" s="54">
        <v>0.93586611214799997</v>
      </c>
      <c r="H14" s="45">
        <v>0.63</v>
      </c>
      <c r="I14" s="55">
        <v>0.63</v>
      </c>
      <c r="J14" s="55">
        <v>0.63</v>
      </c>
      <c r="K14" s="55">
        <v>0.63</v>
      </c>
      <c r="L14" s="45">
        <v>0.70199999999999985</v>
      </c>
      <c r="M14" s="55">
        <v>0.70199999999999985</v>
      </c>
      <c r="N14" s="55">
        <v>0.70199999999999985</v>
      </c>
      <c r="O14" s="55">
        <v>0.70199999999999985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0.51605156155281307</v>
      </c>
      <c r="D15" s="52">
        <f t="shared" si="0"/>
        <v>0.51830028026185182</v>
      </c>
      <c r="E15" s="52">
        <f t="shared" si="0"/>
        <v>0.51830028026185182</v>
      </c>
      <c r="F15" s="52">
        <f t="shared" si="0"/>
        <v>0.49679703870486863</v>
      </c>
      <c r="G15" s="52">
        <f t="shared" si="0"/>
        <v>0.49679703870486863</v>
      </c>
      <c r="H15" s="52">
        <f t="shared" si="0"/>
        <v>0.33443046000000004</v>
      </c>
      <c r="I15" s="52">
        <f t="shared" si="0"/>
        <v>0.33443046000000004</v>
      </c>
      <c r="J15" s="52">
        <f t="shared" si="0"/>
        <v>0.33443046000000004</v>
      </c>
      <c r="K15" s="52">
        <f t="shared" si="0"/>
        <v>0.33443046000000004</v>
      </c>
      <c r="L15" s="52">
        <f t="shared" si="0"/>
        <v>0.37265108399999997</v>
      </c>
      <c r="M15" s="52">
        <f t="shared" si="0"/>
        <v>0.37265108399999997</v>
      </c>
      <c r="N15" s="52">
        <f t="shared" si="0"/>
        <v>0.37265108399999997</v>
      </c>
      <c r="O15" s="52">
        <f t="shared" si="0"/>
        <v>0.37265108399999997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tU5GhhxCqMcepfrn3zxzcqxulwVVo6L2vtsk0i93mt4rxvS1UzYcSvpbfcA7p0WvlWG/J8UXuPYZHP7hDWAtXQ==" saltValue="K8asyWdHOmgA9ivZrp7o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0.20986087620258301</v>
      </c>
      <c r="D2" s="53">
        <v>8.6708339999999995E-2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0.419663816690445</v>
      </c>
      <c r="D3" s="53">
        <v>0.27589580000000002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0.30791074037551902</v>
      </c>
      <c r="D4" s="53">
        <v>0.56925510000000001</v>
      </c>
      <c r="E4" s="53">
        <v>0.84019792079925493</v>
      </c>
      <c r="F4" s="53">
        <v>0.62838995456695601</v>
      </c>
      <c r="G4" s="53">
        <v>0</v>
      </c>
    </row>
    <row r="5" spans="1:7" x14ac:dyDescent="0.2">
      <c r="B5" s="3" t="s">
        <v>125</v>
      </c>
      <c r="C5" s="52">
        <v>6.25645667314529E-2</v>
      </c>
      <c r="D5" s="52">
        <v>6.81407675147057E-2</v>
      </c>
      <c r="E5" s="52">
        <f>1-SUM(E2:E4)</f>
        <v>0.15980207920074507</v>
      </c>
      <c r="F5" s="52">
        <f>1-SUM(F2:F4)</f>
        <v>0.37161004543304399</v>
      </c>
      <c r="G5" s="52">
        <f>1-SUM(G2:G4)</f>
        <v>1</v>
      </c>
    </row>
  </sheetData>
  <sheetProtection algorithmName="SHA-512" hashValue="lKJqahbPMqEf3GdAu1sF8Y95EXuno25BdA0t6YcQ+EikBLqVTctkWJmKyBYZliunOwxmXolpw+HYNzoiusjjvQ==" saltValue="55Emd8KMJ5PVvasSxKqzC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4eUrvLKTEsQGok0yKhp/XWfCAQ6y87SRvTVi2JFkUTdlGc+4HdC+PSqvCoXWr813IMoELdTM2zeututNZ91Og==" saltValue="V6zm93Kil01VJilpXb1OF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nUXJ7sScA6T6ca5jNjO4m3WAsmU3ghYimwJlyZNzKLj9qPVLPRHvo/R8Ihu0yyPjnA08sslPV1s+BNXmkF2KGw==" saltValue="UEPKX3i1jYLt/lj3qTkRb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gWHoT8lgqSUIKF6W3zd041XGT5NgtO/LPFXTJhDYSUfOwqdo2lgyAdIWQctwVYF9TERkTiiflnrhBSFKv6imIg==" saltValue="y0uIcdctCfSL+aWMfk4uP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EyIkGQbIw7wa3RUF4g/K1JjfpjFYxvi8EEExM1iwVv+vADU6GrH9B0x2fC+lc5vDfM5neEnxTrRWI64zlOuEaQ==" saltValue="CBFHrGJ5Dia10U2W8hS/J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2023-01-25T12:02:41Z</dcterms:modified>
</cp:coreProperties>
</file>