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7809E5EC-EEC5-458C-81E4-E6A55F9FCD6D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25" i="2"/>
  <c r="A24" i="2"/>
  <c r="A19" i="2"/>
  <c r="A18" i="2"/>
  <c r="A16" i="2"/>
  <c r="H11" i="2"/>
  <c r="G11" i="2"/>
  <c r="H10" i="2"/>
  <c r="I10" i="2" s="1"/>
  <c r="G10" i="2"/>
  <c r="H9" i="2"/>
  <c r="G9" i="2"/>
  <c r="I9" i="2" s="1"/>
  <c r="H8" i="2"/>
  <c r="G8" i="2"/>
  <c r="H7" i="2"/>
  <c r="G7" i="2"/>
  <c r="H6" i="2"/>
  <c r="G6" i="2"/>
  <c r="I6" i="2" s="1"/>
  <c r="H5" i="2"/>
  <c r="G5" i="2"/>
  <c r="I5" i="2" s="1"/>
  <c r="H4" i="2"/>
  <c r="G4" i="2"/>
  <c r="I4" i="2" s="1"/>
  <c r="H3" i="2"/>
  <c r="G3" i="2"/>
  <c r="A3" i="2"/>
  <c r="H2" i="2"/>
  <c r="G2" i="2"/>
  <c r="I2" i="2" s="1"/>
  <c r="A2" i="2"/>
  <c r="A31" i="2" s="1"/>
  <c r="C33" i="1"/>
  <c r="C20" i="1"/>
  <c r="A17" i="2" l="1"/>
  <c r="I7" i="2"/>
  <c r="A26" i="2"/>
  <c r="A27" i="2"/>
  <c r="I8" i="2"/>
  <c r="A32" i="2"/>
  <c r="A33" i="2"/>
  <c r="A35" i="2"/>
  <c r="A34" i="2"/>
  <c r="I3" i="2"/>
  <c r="I11" i="2"/>
  <c r="A39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<sst xmlns="http://schemas.openxmlformats.org/spreadsheetml/2006/main" count="2092" uniqueCount="341">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</sst>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5763696</v>
      </c>
    </row>
    <row r="8" spans="1:3" ht="15" customHeight="1" x14ac:dyDescent="0.2">
      <c r="B8" s="5" t="s">
        <v>44</v>
      </c>
      <c r="C8" s="44">
        <v>0.189</v>
      </c>
    </row>
    <row r="9" spans="1:3" ht="15" customHeight="1" x14ac:dyDescent="0.2">
      <c r="B9" s="5" t="s">
        <v>43</v>
      </c>
      <c r="C9" s="45">
        <v>0.15</v>
      </c>
    </row>
    <row r="10" spans="1:3" ht="15" customHeight="1" x14ac:dyDescent="0.2">
      <c r="B10" s="5" t="s">
        <v>56</v>
      </c>
      <c r="C10" s="45">
        <v>0.84276802062988299</v>
      </c>
    </row>
    <row r="11" spans="1:3" ht="15" customHeight="1" x14ac:dyDescent="0.2">
      <c r="B11" s="5" t="s">
        <v>49</v>
      </c>
      <c r="C11" s="45">
        <v>0.755</v>
      </c>
    </row>
    <row r="12" spans="1:3" ht="15" customHeight="1" x14ac:dyDescent="0.2">
      <c r="B12" s="5" t="s">
        <v>41</v>
      </c>
      <c r="C12" s="45">
        <v>0.87599999999999989</v>
      </c>
    </row>
    <row r="13" spans="1:3" ht="15" customHeight="1" x14ac:dyDescent="0.2">
      <c r="B13" s="5" t="s">
        <v>62</v>
      </c>
      <c r="C13" s="45">
        <v>0.221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9.8900000000000002E-2</v>
      </c>
    </row>
    <row r="24" spans="1:3" ht="15" customHeight="1" x14ac:dyDescent="0.2">
      <c r="B24" s="15" t="s">
        <v>46</v>
      </c>
      <c r="C24" s="45">
        <v>0.53500000000000003</v>
      </c>
    </row>
    <row r="25" spans="1:3" ht="15" customHeight="1" x14ac:dyDescent="0.2">
      <c r="B25" s="15" t="s">
        <v>47</v>
      </c>
      <c r="C25" s="45">
        <v>0.3115</v>
      </c>
    </row>
    <row r="26" spans="1:3" ht="15" customHeight="1" x14ac:dyDescent="0.2">
      <c r="B26" s="15" t="s">
        <v>48</v>
      </c>
      <c r="C26" s="45">
        <v>5.4600000000000003E-2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0.33297699189213298</v>
      </c>
    </row>
    <row r="30" spans="1:3" ht="14.25" customHeight="1" x14ac:dyDescent="0.2">
      <c r="B30" s="25" t="s">
        <v>63</v>
      </c>
      <c r="C30" s="99">
        <v>3.7151201420100602E-2</v>
      </c>
    </row>
    <row r="31" spans="1:3" ht="14.25" customHeight="1" x14ac:dyDescent="0.2">
      <c r="B31" s="25" t="s">
        <v>10</v>
      </c>
      <c r="C31" s="99">
        <v>6.7324250317245996E-2</v>
      </c>
    </row>
    <row r="32" spans="1:3" ht="14.25" customHeight="1" x14ac:dyDescent="0.2">
      <c r="B32" s="25" t="s">
        <v>11</v>
      </c>
      <c r="C32" s="99">
        <v>0.56254755637052001</v>
      </c>
    </row>
    <row r="33" spans="1:5" ht="13.15" customHeight="1" x14ac:dyDescent="0.2">
      <c r="B33" s="27" t="s">
        <v>60</v>
      </c>
      <c r="C33" s="48">
        <f>SUM(C29:C32)</f>
        <v>0.99999999999999956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11.4528710574727</v>
      </c>
    </row>
    <row r="38" spans="1:5" ht="15" customHeight="1" x14ac:dyDescent="0.2">
      <c r="B38" s="11" t="s">
        <v>35</v>
      </c>
      <c r="C38" s="43">
        <v>27.5164818893263</v>
      </c>
      <c r="D38" s="12"/>
      <c r="E38" s="13"/>
    </row>
    <row r="39" spans="1:5" ht="15" customHeight="1" x14ac:dyDescent="0.2">
      <c r="B39" s="11" t="s">
        <v>61</v>
      </c>
      <c r="C39" s="43">
        <v>34.457771601452201</v>
      </c>
      <c r="D39" s="12"/>
      <c r="E39" s="12"/>
    </row>
    <row r="40" spans="1:5" ht="15" customHeight="1" x14ac:dyDescent="0.2">
      <c r="B40" s="11" t="s">
        <v>36</v>
      </c>
      <c r="C40" s="100">
        <v>1.19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16.378899619999999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1.28585E-2</v>
      </c>
      <c r="D45" s="12"/>
    </row>
    <row r="46" spans="1:5" ht="15.75" customHeight="1" x14ac:dyDescent="0.2">
      <c r="B46" s="11" t="s">
        <v>51</v>
      </c>
      <c r="C46" s="45">
        <v>6.7168789999999992E-2</v>
      </c>
      <c r="D46" s="12"/>
    </row>
    <row r="47" spans="1:5" ht="15.75" customHeight="1" x14ac:dyDescent="0.2">
      <c r="B47" s="11" t="s">
        <v>59</v>
      </c>
      <c r="C47" s="45">
        <v>0.21762380000000001</v>
      </c>
      <c r="D47" s="12"/>
      <c r="E47" s="13"/>
    </row>
    <row r="48" spans="1:5" ht="15" customHeight="1" x14ac:dyDescent="0.2">
      <c r="B48" s="11" t="s">
        <v>58</v>
      </c>
      <c r="C48" s="46">
        <v>0.70234890999999999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3.3</v>
      </c>
      <c r="D51" s="12"/>
    </row>
    <row r="52" spans="1:4" ht="15" customHeight="1" x14ac:dyDescent="0.2">
      <c r="B52" s="11" t="s">
        <v>13</v>
      </c>
      <c r="C52" s="100">
        <v>3.3</v>
      </c>
    </row>
    <row r="53" spans="1:4" ht="15.75" customHeight="1" x14ac:dyDescent="0.2">
      <c r="B53" s="11" t="s">
        <v>16</v>
      </c>
      <c r="C53" s="100">
        <v>3.3</v>
      </c>
    </row>
    <row r="54" spans="1:4" ht="15.75" customHeight="1" x14ac:dyDescent="0.2">
      <c r="B54" s="11" t="s">
        <v>14</v>
      </c>
      <c r="C54" s="100">
        <v>3.3</v>
      </c>
    </row>
    <row r="55" spans="1:4" ht="15.75" customHeight="1" x14ac:dyDescent="0.2">
      <c r="B55" s="11" t="s">
        <v>15</v>
      </c>
      <c r="C55" s="100">
        <v>3.3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2.181818181818182E-2</v>
      </c>
    </row>
    <row r="59" spans="1:4" ht="15.75" customHeight="1" x14ac:dyDescent="0.2">
      <c r="B59" s="11" t="s">
        <v>40</v>
      </c>
      <c r="C59" s="45">
        <v>0.55612200000000001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0.14205164000000001</v>
      </c>
    </row>
    <row r="63" spans="1:4" ht="15.75" customHeight="1" x14ac:dyDescent="0.2">
      <c r="A63" s="4"/>
    </row>
  </sheetData>
  <sheetProtection algorithmName="SHA-512" hashValue="MzwNcIG3RGhh3k4+4BaUCBMLlQ3WcaAFCR9Ch//GC7U704kmjkJjk1x0fi0Ciye64aHAxTHteQko7UjGA05Zow==" saltValue="1wxZxTwM0AO+Z3l1+uHQZ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1152638.3828</v>
      </c>
      <c r="C2" s="49">
        <v>2586000</v>
      </c>
      <c r="D2" s="49">
        <v>5093000</v>
      </c>
      <c r="E2" s="49">
        <v>846000</v>
      </c>
      <c r="F2" s="49">
        <v>568000</v>
      </c>
      <c r="G2" s="17">
        <f t="shared" ref="G2:G11" si="0">C2+D2+E2+F2</f>
        <v>9093000</v>
      </c>
      <c r="H2" s="17">
        <f t="shared" ref="H2:H11" si="1">(B2 + stillbirth*B2/(1000-stillbirth))/(1-abortion)</f>
        <v>1331626.9278738438</v>
      </c>
      <c r="I2" s="17">
        <f t="shared" ref="I2:I11" si="2">G2-H2</f>
        <v>7761373.0721261557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1147759.4776000001</v>
      </c>
      <c r="C3" s="50">
        <v>2600000</v>
      </c>
      <c r="D3" s="50">
        <v>5091000</v>
      </c>
      <c r="E3" s="50">
        <v>878000</v>
      </c>
      <c r="F3" s="50">
        <v>583000</v>
      </c>
      <c r="G3" s="17">
        <f t="shared" si="0"/>
        <v>9152000</v>
      </c>
      <c r="H3" s="17">
        <f t="shared" si="1"/>
        <v>1325990.3972500055</v>
      </c>
      <c r="I3" s="17">
        <f t="shared" si="2"/>
        <v>7826009.602749994</v>
      </c>
    </row>
    <row r="4" spans="1:9" ht="15.75" customHeight="1" x14ac:dyDescent="0.2">
      <c r="A4" s="5">
        <f t="shared" si="3"/>
        <v>2023</v>
      </c>
      <c r="B4" s="49">
        <v>1142238.5393999999</v>
      </c>
      <c r="C4" s="50">
        <v>2617000</v>
      </c>
      <c r="D4" s="50">
        <v>5091000</v>
      </c>
      <c r="E4" s="50">
        <v>910000</v>
      </c>
      <c r="F4" s="50">
        <v>600000</v>
      </c>
      <c r="G4" s="17">
        <f t="shared" si="0"/>
        <v>9218000</v>
      </c>
      <c r="H4" s="17">
        <f t="shared" si="1"/>
        <v>1319612.1349225021</v>
      </c>
      <c r="I4" s="17">
        <f t="shared" si="2"/>
        <v>7898387.8650774974</v>
      </c>
    </row>
    <row r="5" spans="1:9" ht="15.75" customHeight="1" x14ac:dyDescent="0.2">
      <c r="A5" s="5">
        <f t="shared" si="3"/>
        <v>2024</v>
      </c>
      <c r="B5" s="49">
        <v>1136051.2818</v>
      </c>
      <c r="C5" s="50">
        <v>2637000</v>
      </c>
      <c r="D5" s="50">
        <v>5095000</v>
      </c>
      <c r="E5" s="50">
        <v>944000</v>
      </c>
      <c r="F5" s="50">
        <v>619000</v>
      </c>
      <c r="G5" s="17">
        <f t="shared" si="0"/>
        <v>9295000</v>
      </c>
      <c r="H5" s="17">
        <f t="shared" si="1"/>
        <v>1312464.0831546639</v>
      </c>
      <c r="I5" s="17">
        <f t="shared" si="2"/>
        <v>7982535.9168453366</v>
      </c>
    </row>
    <row r="6" spans="1:9" ht="15.75" customHeight="1" x14ac:dyDescent="0.2">
      <c r="A6" s="5">
        <f t="shared" si="3"/>
        <v>2025</v>
      </c>
      <c r="B6" s="49">
        <v>1129212.25</v>
      </c>
      <c r="C6" s="50">
        <v>2660000</v>
      </c>
      <c r="D6" s="50">
        <v>5102000</v>
      </c>
      <c r="E6" s="50">
        <v>978000</v>
      </c>
      <c r="F6" s="50">
        <v>639000</v>
      </c>
      <c r="G6" s="17">
        <f t="shared" si="0"/>
        <v>9379000</v>
      </c>
      <c r="H6" s="17">
        <f t="shared" si="1"/>
        <v>1304563.0458116746</v>
      </c>
      <c r="I6" s="17">
        <f t="shared" si="2"/>
        <v>8074436.9541883254</v>
      </c>
    </row>
    <row r="7" spans="1:9" ht="15.75" customHeight="1" x14ac:dyDescent="0.2">
      <c r="A7" s="5">
        <f t="shared" si="3"/>
        <v>2026</v>
      </c>
      <c r="B7" s="49">
        <v>1124953.4556</v>
      </c>
      <c r="C7" s="50">
        <v>2686000</v>
      </c>
      <c r="D7" s="50">
        <v>5111000</v>
      </c>
      <c r="E7" s="50">
        <v>1011000</v>
      </c>
      <c r="F7" s="50">
        <v>660000</v>
      </c>
      <c r="G7" s="17">
        <f t="shared" si="0"/>
        <v>9468000</v>
      </c>
      <c r="H7" s="17">
        <f t="shared" si="1"/>
        <v>1299642.9204818709</v>
      </c>
      <c r="I7" s="17">
        <f t="shared" si="2"/>
        <v>8168357.0795181291</v>
      </c>
    </row>
    <row r="8" spans="1:9" ht="15.75" customHeight="1" x14ac:dyDescent="0.2">
      <c r="A8" s="5">
        <f t="shared" si="3"/>
        <v>2027</v>
      </c>
      <c r="B8" s="49">
        <v>1120128.4277999999</v>
      </c>
      <c r="C8" s="50">
        <v>2716000</v>
      </c>
      <c r="D8" s="50">
        <v>5123000</v>
      </c>
      <c r="E8" s="50">
        <v>1044000</v>
      </c>
      <c r="F8" s="50">
        <v>683000</v>
      </c>
      <c r="G8" s="17">
        <f t="shared" si="0"/>
        <v>9566000</v>
      </c>
      <c r="H8" s="17">
        <f t="shared" si="1"/>
        <v>1294068.6336612187</v>
      </c>
      <c r="I8" s="17">
        <f t="shared" si="2"/>
        <v>8271931.3663387811</v>
      </c>
    </row>
    <row r="9" spans="1:9" ht="15.75" customHeight="1" x14ac:dyDescent="0.2">
      <c r="A9" s="5">
        <f t="shared" si="3"/>
        <v>2028</v>
      </c>
      <c r="B9" s="49">
        <v>1114801.8027999999</v>
      </c>
      <c r="C9" s="50">
        <v>2747000</v>
      </c>
      <c r="D9" s="50">
        <v>5140000</v>
      </c>
      <c r="E9" s="50">
        <v>1077000</v>
      </c>
      <c r="F9" s="50">
        <v>707000</v>
      </c>
      <c r="G9" s="17">
        <f t="shared" si="0"/>
        <v>9671000</v>
      </c>
      <c r="H9" s="17">
        <f t="shared" si="1"/>
        <v>1287914.8586433716</v>
      </c>
      <c r="I9" s="17">
        <f t="shared" si="2"/>
        <v>8383085.1413566284</v>
      </c>
    </row>
    <row r="10" spans="1:9" ht="15.75" customHeight="1" x14ac:dyDescent="0.2">
      <c r="A10" s="5">
        <f t="shared" si="3"/>
        <v>2029</v>
      </c>
      <c r="B10" s="49">
        <v>1109018.0730000001</v>
      </c>
      <c r="C10" s="50">
        <v>2772000</v>
      </c>
      <c r="D10" s="50">
        <v>5164000</v>
      </c>
      <c r="E10" s="50">
        <v>1110000</v>
      </c>
      <c r="F10" s="50">
        <v>734000</v>
      </c>
      <c r="G10" s="17">
        <f t="shared" si="0"/>
        <v>9780000</v>
      </c>
      <c r="H10" s="17">
        <f t="shared" si="1"/>
        <v>1281232.9968728856</v>
      </c>
      <c r="I10" s="17">
        <f t="shared" si="2"/>
        <v>8498767.0031271148</v>
      </c>
    </row>
    <row r="11" spans="1:9" ht="15.75" customHeight="1" x14ac:dyDescent="0.2">
      <c r="A11" s="5">
        <f t="shared" si="3"/>
        <v>2030</v>
      </c>
      <c r="B11" s="49">
        <v>1102819.862</v>
      </c>
      <c r="C11" s="50">
        <v>2789000</v>
      </c>
      <c r="D11" s="50">
        <v>5194000</v>
      </c>
      <c r="E11" s="50">
        <v>1143000</v>
      </c>
      <c r="F11" s="50">
        <v>762000</v>
      </c>
      <c r="G11" s="17">
        <f t="shared" si="0"/>
        <v>9888000</v>
      </c>
      <c r="H11" s="17">
        <f t="shared" si="1"/>
        <v>1274072.2907959335</v>
      </c>
      <c r="I11" s="17">
        <f t="shared" si="2"/>
        <v>8613927.7092040665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rL5EyJcsJ+YfDbdTkSXgyzdqOqzX+VX+5o2iVasjHxOLKjSDMvngWt1NOxYtL/tGvKWDM7fqFYjjBRc8p1rn8w==" saltValue="S3aIQORbSGMBlM+6VwKgi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0</v>
      </c>
    </row>
    <row r="4" spans="1:8" ht="15.75" customHeight="1" x14ac:dyDescent="0.2">
      <c r="B4" s="19" t="s">
        <v>97</v>
      </c>
      <c r="C4" s="101">
        <v>0.14075710599709071</v>
      </c>
    </row>
    <row r="5" spans="1:8" ht="15.75" customHeight="1" x14ac:dyDescent="0.2">
      <c r="B5" s="19" t="s">
        <v>95</v>
      </c>
      <c r="C5" s="101">
        <v>5.2716678745143943E-2</v>
      </c>
    </row>
    <row r="6" spans="1:8" ht="15.75" customHeight="1" x14ac:dyDescent="0.2">
      <c r="B6" s="19" t="s">
        <v>91</v>
      </c>
      <c r="C6" s="101">
        <v>0.20186068047371131</v>
      </c>
    </row>
    <row r="7" spans="1:8" ht="15.75" customHeight="1" x14ac:dyDescent="0.2">
      <c r="B7" s="19" t="s">
        <v>96</v>
      </c>
      <c r="C7" s="101">
        <v>0.35771751950634961</v>
      </c>
    </row>
    <row r="8" spans="1:8" ht="15.75" customHeight="1" x14ac:dyDescent="0.2">
      <c r="B8" s="19" t="s">
        <v>98</v>
      </c>
      <c r="C8" s="101">
        <v>0</v>
      </c>
    </row>
    <row r="9" spans="1:8" ht="15.75" customHeight="1" x14ac:dyDescent="0.2">
      <c r="B9" s="19" t="s">
        <v>92</v>
      </c>
      <c r="C9" s="101">
        <v>0.1004316405325008</v>
      </c>
    </row>
    <row r="10" spans="1:8" ht="15.75" customHeight="1" x14ac:dyDescent="0.2">
      <c r="B10" s="19" t="s">
        <v>94</v>
      </c>
      <c r="C10" s="101">
        <v>0.14651637474520379</v>
      </c>
    </row>
    <row r="11" spans="1:8" ht="15.75" customHeight="1" x14ac:dyDescent="0.2">
      <c r="B11" s="27" t="s">
        <v>60</v>
      </c>
      <c r="C11" s="48">
        <f>SUM(C3:C10)</f>
        <v>1.0000000000000002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8" t="s">
        <v>74</v>
      </c>
      <c r="D13" s="18" t="s">
        <v>77</v>
      </c>
      <c r="E13" s="18" t="s">
        <v>75</v>
      </c>
      <c r="F13" s="18" t="s">
        <v>76</v>
      </c>
      <c r="G13" s="19"/>
    </row>
    <row r="14" spans="1:8" ht="15.75" customHeight="1" x14ac:dyDescent="0.2">
      <c r="B14" s="19" t="s">
        <v>84</v>
      </c>
      <c r="C14" s="55">
        <v>7.3577327340360738E-2</v>
      </c>
      <c r="D14" s="55">
        <v>7.3577327340360738E-2</v>
      </c>
      <c r="E14" s="55">
        <v>7.3577327340360738E-2</v>
      </c>
      <c r="F14" s="55">
        <v>7.3577327340360738E-2</v>
      </c>
    </row>
    <row r="15" spans="1:8" ht="15.75" customHeight="1" x14ac:dyDescent="0.2">
      <c r="B15" s="19" t="s">
        <v>102</v>
      </c>
      <c r="C15" s="101">
        <v>0.13225559045026949</v>
      </c>
      <c r="D15" s="101">
        <v>0.13225559045026949</v>
      </c>
      <c r="E15" s="101">
        <v>0.13225559045026949</v>
      </c>
      <c r="F15" s="101">
        <v>0.13225559045026949</v>
      </c>
    </row>
    <row r="16" spans="1:8" ht="15.75" customHeight="1" x14ac:dyDescent="0.2">
      <c r="B16" s="19" t="s">
        <v>2</v>
      </c>
      <c r="C16" s="101">
        <v>1.06809175920646E-2</v>
      </c>
      <c r="D16" s="101">
        <v>1.06809175920646E-2</v>
      </c>
      <c r="E16" s="101">
        <v>1.06809175920646E-2</v>
      </c>
      <c r="F16" s="101">
        <v>1.06809175920646E-2</v>
      </c>
    </row>
    <row r="17" spans="1:8" ht="15.75" customHeight="1" x14ac:dyDescent="0.2">
      <c r="B17" s="19" t="s">
        <v>90</v>
      </c>
      <c r="C17" s="101">
        <v>8.5737234032186947E-3</v>
      </c>
      <c r="D17" s="101">
        <v>8.5737234032186947E-3</v>
      </c>
      <c r="E17" s="101">
        <v>8.5737234032186947E-3</v>
      </c>
      <c r="F17" s="101">
        <v>8.5737234032186947E-3</v>
      </c>
    </row>
    <row r="18" spans="1:8" ht="15.75" customHeight="1" x14ac:dyDescent="0.2">
      <c r="B18" s="19" t="s">
        <v>3</v>
      </c>
      <c r="C18" s="101">
        <v>1.3269662198541099E-3</v>
      </c>
      <c r="D18" s="101">
        <v>1.3269662198541099E-3</v>
      </c>
      <c r="E18" s="101">
        <v>1.3269662198541099E-3</v>
      </c>
      <c r="F18" s="101">
        <v>1.3269662198541099E-3</v>
      </c>
    </row>
    <row r="19" spans="1:8" ht="15.75" customHeight="1" x14ac:dyDescent="0.2">
      <c r="B19" s="19" t="s">
        <v>101</v>
      </c>
      <c r="C19" s="101">
        <v>4.3791703544782913E-3</v>
      </c>
      <c r="D19" s="101">
        <v>4.3791703544782913E-3</v>
      </c>
      <c r="E19" s="101">
        <v>4.3791703544782913E-3</v>
      </c>
      <c r="F19" s="101">
        <v>4.3791703544782913E-3</v>
      </c>
    </row>
    <row r="20" spans="1:8" ht="15.75" customHeight="1" x14ac:dyDescent="0.2">
      <c r="B20" s="19" t="s">
        <v>79</v>
      </c>
      <c r="C20" s="101">
        <v>0.45121921845126672</v>
      </c>
      <c r="D20" s="101">
        <v>0.45121921845126672</v>
      </c>
      <c r="E20" s="101">
        <v>0.45121921845126672</v>
      </c>
      <c r="F20" s="101">
        <v>0.45121921845126672</v>
      </c>
    </row>
    <row r="21" spans="1:8" ht="15.75" customHeight="1" x14ac:dyDescent="0.2">
      <c r="B21" s="19" t="s">
        <v>88</v>
      </c>
      <c r="C21" s="101">
        <v>7.0890608454721782E-2</v>
      </c>
      <c r="D21" s="101">
        <v>7.0890608454721782E-2</v>
      </c>
      <c r="E21" s="101">
        <v>7.0890608454721782E-2</v>
      </c>
      <c r="F21" s="101">
        <v>7.0890608454721782E-2</v>
      </c>
    </row>
    <row r="22" spans="1:8" ht="15.75" customHeight="1" x14ac:dyDescent="0.2">
      <c r="B22" s="19" t="s">
        <v>99</v>
      </c>
      <c r="C22" s="101">
        <v>0.2470964777337657</v>
      </c>
      <c r="D22" s="101">
        <v>0.2470964777337657</v>
      </c>
      <c r="E22" s="101">
        <v>0.2470964777337657</v>
      </c>
      <c r="F22" s="101">
        <v>0.2470964777337657</v>
      </c>
    </row>
    <row r="23" spans="1:8" ht="15.75" customHeight="1" x14ac:dyDescent="0.2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3.3942822999999997E-2</v>
      </c>
    </row>
    <row r="27" spans="1:8" ht="15.75" customHeight="1" x14ac:dyDescent="0.2">
      <c r="B27" s="19" t="s">
        <v>89</v>
      </c>
      <c r="C27" s="101">
        <v>5.9011999999999997E-4</v>
      </c>
    </row>
    <row r="28" spans="1:8" ht="15.75" customHeight="1" x14ac:dyDescent="0.2">
      <c r="B28" s="19" t="s">
        <v>103</v>
      </c>
      <c r="C28" s="101">
        <v>0.106273149</v>
      </c>
    </row>
    <row r="29" spans="1:8" ht="15.75" customHeight="1" x14ac:dyDescent="0.2">
      <c r="B29" s="19" t="s">
        <v>86</v>
      </c>
      <c r="C29" s="101">
        <v>0.14667259199999999</v>
      </c>
    </row>
    <row r="30" spans="1:8" ht="15.75" customHeight="1" x14ac:dyDescent="0.2">
      <c r="B30" s="19" t="s">
        <v>4</v>
      </c>
      <c r="C30" s="101">
        <v>8.2104470999999998E-2</v>
      </c>
    </row>
    <row r="31" spans="1:8" ht="15.75" customHeight="1" x14ac:dyDescent="0.2">
      <c r="B31" s="19" t="s">
        <v>80</v>
      </c>
      <c r="C31" s="101">
        <v>5.7501955E-2</v>
      </c>
    </row>
    <row r="32" spans="1:8" ht="15.75" customHeight="1" x14ac:dyDescent="0.2">
      <c r="B32" s="19" t="s">
        <v>85</v>
      </c>
      <c r="C32" s="101">
        <v>2.0726010999999999E-2</v>
      </c>
    </row>
    <row r="33" spans="2:3" ht="15.75" customHeight="1" x14ac:dyDescent="0.2">
      <c r="B33" s="19" t="s">
        <v>100</v>
      </c>
      <c r="C33" s="101">
        <v>6.9730735000000002E-2</v>
      </c>
    </row>
    <row r="34" spans="2:3" ht="15.75" customHeight="1" x14ac:dyDescent="0.2">
      <c r="B34" s="19" t="s">
        <v>87</v>
      </c>
      <c r="C34" s="101">
        <v>0.48245814399999998</v>
      </c>
    </row>
    <row r="35" spans="2:3" ht="15.75" customHeight="1" x14ac:dyDescent="0.2">
      <c r="B35" s="27" t="s">
        <v>60</v>
      </c>
      <c r="C35" s="48">
        <f>SUM(C26:C34)</f>
        <v>1</v>
      </c>
    </row>
  </sheetData>
  <sheetProtection algorithmName="SHA-512" hashValue="OasMH5o9QAxK+JIjU02DmXd3C+nQg3XScEnf7IDcsF4tk2G8j9rDhGBHaSM13W+OAgDwwYYerb9gWkvU0Hzoyg==" saltValue="kkbMv9LfEjeuqxZqgnZcd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0.29713983040504666</v>
      </c>
      <c r="D2" s="52">
        <f>IFERROR(1-_xlfn.NORM.DIST(_xlfn.NORM.INV(SUM(D4:D5), 0, 1) + 1, 0, 1, TRUE), "")</f>
        <v>0.29713983040504666</v>
      </c>
      <c r="E2" s="52">
        <f>IFERROR(1-_xlfn.NORM.DIST(_xlfn.NORM.INV(SUM(E4:E5), 0, 1) + 1, 0, 1, TRUE), "")</f>
        <v>0.47922914078283374</v>
      </c>
      <c r="F2" s="52">
        <f>IFERROR(1-_xlfn.NORM.DIST(_xlfn.NORM.INV(SUM(F4:F5), 0, 1) + 1, 0, 1, TRUE), "")</f>
        <v>0.27096610954676381</v>
      </c>
      <c r="G2" s="52">
        <f>IFERROR(1-_xlfn.NORM.DIST(_xlfn.NORM.INV(SUM(G4:G5), 0, 1) + 1, 0, 1, TRUE), "")</f>
        <v>0.388155139676433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0.38273737627811233</v>
      </c>
      <c r="D3" s="52">
        <f>IFERROR(_xlfn.NORM.DIST(_xlfn.NORM.INV(SUM(D4:D5), 0, 1) + 1, 0, 1, TRUE) - SUM(D4:D5), "")</f>
        <v>0.38273737627811233</v>
      </c>
      <c r="E3" s="52">
        <f>IFERROR(_xlfn.NORM.DIST(_xlfn.NORM.INV(SUM(E4:E5), 0, 1) + 1, 0, 1, TRUE) - SUM(E4:E5), "")</f>
        <v>0.34918363789272222</v>
      </c>
      <c r="F3" s="52">
        <f>IFERROR(_xlfn.NORM.DIST(_xlfn.NORM.INV(SUM(F4:F5), 0, 1) + 1, 0, 1, TRUE) - SUM(F4:F5), "")</f>
        <v>0.38080491432275021</v>
      </c>
      <c r="G3" s="52">
        <f>IFERROR(_xlfn.NORM.DIST(_xlfn.NORM.INV(SUM(G4:G5), 0, 1) + 1, 0, 1, TRUE) - SUM(G4:G5), "")</f>
        <v>0.37480885566105332</v>
      </c>
    </row>
    <row r="4" spans="1:15" ht="15.75" customHeight="1" x14ac:dyDescent="0.2">
      <c r="B4" s="5" t="s">
        <v>110</v>
      </c>
      <c r="C4" s="45">
        <v>0.13394634425640101</v>
      </c>
      <c r="D4" s="53">
        <v>0.13394634425640101</v>
      </c>
      <c r="E4" s="53">
        <v>0.123135916888714</v>
      </c>
      <c r="F4" s="53">
        <v>0.183827564120293</v>
      </c>
      <c r="G4" s="53">
        <v>0.16438950598239899</v>
      </c>
    </row>
    <row r="5" spans="1:15" ht="15.75" customHeight="1" x14ac:dyDescent="0.2">
      <c r="B5" s="5" t="s">
        <v>106</v>
      </c>
      <c r="C5" s="45">
        <v>0.18617644906044001</v>
      </c>
      <c r="D5" s="53">
        <v>0.18617644906044001</v>
      </c>
      <c r="E5" s="53">
        <v>4.8451304435730001E-2</v>
      </c>
      <c r="F5" s="53">
        <v>0.16440141201019301</v>
      </c>
      <c r="G5" s="53">
        <v>7.2646498680114704E-2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0.78989950469278014</v>
      </c>
      <c r="D8" s="52">
        <f>IFERROR(1-_xlfn.NORM.DIST(_xlfn.NORM.INV(SUM(D10:D11), 0, 1) + 1, 0, 1, TRUE), "")</f>
        <v>0.78989950469278014</v>
      </c>
      <c r="E8" s="52">
        <f>IFERROR(1-_xlfn.NORM.DIST(_xlfn.NORM.INV(SUM(E10:E11), 0, 1) + 1, 0, 1, TRUE), "")</f>
        <v>0.8476515138350923</v>
      </c>
      <c r="F8" s="52">
        <f>IFERROR(1-_xlfn.NORM.DIST(_xlfn.NORM.INV(SUM(F10:F11), 0, 1) + 1, 0, 1, TRUE), "")</f>
        <v>0.83685112392003524</v>
      </c>
      <c r="G8" s="52">
        <f>IFERROR(1-_xlfn.NORM.DIST(_xlfn.NORM.INV(SUM(G10:G11), 0, 1) + 1, 0, 1, TRUE), "")</f>
        <v>0.82966492980619244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0.17464699508107973</v>
      </c>
      <c r="D9" s="52">
        <f>IFERROR(_xlfn.NORM.DIST(_xlfn.NORM.INV(SUM(D10:D11), 0, 1) + 1, 0, 1, TRUE) - SUM(D10:D11), "")</f>
        <v>0.17464699508107973</v>
      </c>
      <c r="E9" s="52">
        <f>IFERROR(_xlfn.NORM.DIST(_xlfn.NORM.INV(SUM(E10:E11), 0, 1) + 1, 0, 1, TRUE) - SUM(E10:E11), "")</f>
        <v>0.13098724411646531</v>
      </c>
      <c r="F9" s="52">
        <f>IFERROR(_xlfn.NORM.DIST(_xlfn.NORM.INV(SUM(F10:F11), 0, 1) + 1, 0, 1, TRUE) - SUM(F10:F11), "")</f>
        <v>0.13938677104716315</v>
      </c>
      <c r="G9" s="52">
        <f>IFERROR(_xlfn.NORM.DIST(_xlfn.NORM.INV(SUM(G10:G11), 0, 1) + 1, 0, 1, TRUE) - SUM(G10:G11), "")</f>
        <v>0.14491590900446005</v>
      </c>
    </row>
    <row r="10" spans="1:15" ht="15.75" customHeight="1" x14ac:dyDescent="0.2">
      <c r="B10" s="5" t="s">
        <v>107</v>
      </c>
      <c r="C10" s="45">
        <v>2.8592756018042599E-2</v>
      </c>
      <c r="D10" s="53">
        <v>2.8592756018042599E-2</v>
      </c>
      <c r="E10" s="53">
        <v>4.6921251341700996E-3</v>
      </c>
      <c r="F10" s="53">
        <v>1.57087184488773E-2</v>
      </c>
      <c r="G10" s="53">
        <v>2.2852862253785099E-2</v>
      </c>
    </row>
    <row r="11" spans="1:15" ht="15.75" customHeight="1" x14ac:dyDescent="0.2">
      <c r="B11" s="5" t="s">
        <v>119</v>
      </c>
      <c r="C11" s="45">
        <v>6.8607442080975004E-3</v>
      </c>
      <c r="D11" s="53">
        <v>6.8607442080975004E-3</v>
      </c>
      <c r="E11" s="53">
        <v>1.6669116914272301E-2</v>
      </c>
      <c r="F11" s="53">
        <v>8.0533865839243005E-3</v>
      </c>
      <c r="G11" s="53">
        <v>2.5662989355624E-3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0.3103689825</v>
      </c>
      <c r="D14" s="54">
        <v>0.297864656768</v>
      </c>
      <c r="E14" s="54">
        <v>0.297864656768</v>
      </c>
      <c r="F14" s="54">
        <v>0.20754421313499999</v>
      </c>
      <c r="G14" s="54">
        <v>0.20754421313499999</v>
      </c>
      <c r="H14" s="45">
        <v>0.28100000000000003</v>
      </c>
      <c r="I14" s="55">
        <v>0.28100000000000003</v>
      </c>
      <c r="J14" s="55">
        <v>0.28100000000000003</v>
      </c>
      <c r="K14" s="55">
        <v>0.28100000000000003</v>
      </c>
      <c r="L14" s="45">
        <v>0.25700000000000001</v>
      </c>
      <c r="M14" s="55">
        <v>0.25700000000000001</v>
      </c>
      <c r="N14" s="55">
        <v>0.25700000000000001</v>
      </c>
      <c r="O14" s="55">
        <v>0.25700000000000001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0.17260301928586499</v>
      </c>
      <c r="D15" s="52">
        <f t="shared" si="0"/>
        <v>0.1656490886511337</v>
      </c>
      <c r="E15" s="52">
        <f t="shared" si="0"/>
        <v>0.1656490886511337</v>
      </c>
      <c r="F15" s="52">
        <f t="shared" si="0"/>
        <v>0.11541990289706247</v>
      </c>
      <c r="G15" s="52">
        <f t="shared" si="0"/>
        <v>0.11541990289706247</v>
      </c>
      <c r="H15" s="52">
        <f t="shared" si="0"/>
        <v>0.15627028200000001</v>
      </c>
      <c r="I15" s="52">
        <f t="shared" si="0"/>
        <v>0.15627028200000001</v>
      </c>
      <c r="J15" s="52">
        <f t="shared" si="0"/>
        <v>0.15627028200000001</v>
      </c>
      <c r="K15" s="52">
        <f t="shared" si="0"/>
        <v>0.15627028200000001</v>
      </c>
      <c r="L15" s="52">
        <f t="shared" si="0"/>
        <v>0.142923354</v>
      </c>
      <c r="M15" s="52">
        <f t="shared" si="0"/>
        <v>0.142923354</v>
      </c>
      <c r="N15" s="52">
        <f t="shared" si="0"/>
        <v>0.142923354</v>
      </c>
      <c r="O15" s="52">
        <f t="shared" si="0"/>
        <v>0.142923354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d0jgFK4pc3T4xo9LW0aYp+kuyoawyfvhtKLL3ov2w1khmrEA3BxGVwHrzPoo8vNEuRQwVpRnYPZqy8uGLaUk0g==" saltValue="1IgErny19gQ3VUwlQMjJ9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0.440148204565048</v>
      </c>
      <c r="D2" s="53">
        <v>0.27586660000000002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0.15107959508895899</v>
      </c>
      <c r="D3" s="53">
        <v>0.15072820000000001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0.21675546467304199</v>
      </c>
      <c r="D4" s="53">
        <v>0.31531809999999999</v>
      </c>
      <c r="E4" s="53">
        <v>0.58368647098541304</v>
      </c>
      <c r="F4" s="53">
        <v>0.33648863434791598</v>
      </c>
      <c r="G4" s="53">
        <v>0</v>
      </c>
    </row>
    <row r="5" spans="1:7" x14ac:dyDescent="0.2">
      <c r="B5" s="3" t="s">
        <v>125</v>
      </c>
      <c r="C5" s="52">
        <v>0.19201675057411199</v>
      </c>
      <c r="D5" s="52">
        <v>0.25808703899383501</v>
      </c>
      <c r="E5" s="52">
        <f>1-SUM(E2:E4)</f>
        <v>0.41631352901458696</v>
      </c>
      <c r="F5" s="52">
        <f>1-SUM(F2:F4)</f>
        <v>0.66351136565208402</v>
      </c>
      <c r="G5" s="52">
        <f>1-SUM(G2:G4)</f>
        <v>1</v>
      </c>
    </row>
  </sheetData>
  <sheetProtection algorithmName="SHA-512" hashValue="euZqhYg7RdAX0FSPC0tBqZloj0JypcjkcNNO8TDlhhAUC4xO5MtfdX11LM0ZjAQnHDRiJ5w7TAVPnUheZAAmnA==" saltValue="Iq78IjvrAyrDpqNWwXSL5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RqJkEuPXFmb1KU2flaYS1jruFzI3+I66TEaF30Y70d72lDV3FVGV82fI3qgWCFVurIXL3FjC4kimNeo5e3JClA==" saltValue="QXTpRSHKlPXxFpNXgAK93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ixGCQhTKRFDfL1pz1YhSX8rFjUNkeBNXraw5KMecLTOp+gtePaUvf+dn5DRJw+TtkEeO4onCdKEZbIfZ80GeyQ==" saltValue="UUUQdb4+zqO+nzmDOdUp2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DnHbTLwa4aMHwGEzwAcJlP9F7lfgJiknAcas/CWDbdShOPt7jP3e06faKwZk82WSQJD0uwAnGAvRnhtenwqm7A==" saltValue="l0DkDY2avGD8Uc+A3WrwW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ji7dXWrGi5lbrl5Xp0clQvZYUNTD+q523GiLwkIVYiaURNLD1b+T0fzrWXMIHdauECTr6eSUtFE/seZcfx/OmQ==" saltValue="Nl4ISpnOHeHKnfWdDCqhv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0.59424025964240001</v>
      </c>
      <c r="C2" s="98">
        <v>0.95</v>
      </c>
      <c r="D2" s="56">
        <v>65.240473432681014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40.041757421157321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527.45460078861561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3.456877580324591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0.18414137988736001</v>
      </c>
      <c r="C10" s="98">
        <v>0.95</v>
      </c>
      <c r="D10" s="56">
        <v>13.174056864953229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0.18414137988736001</v>
      </c>
      <c r="C11" s="98">
        <v>0.95</v>
      </c>
      <c r="D11" s="56">
        <v>13.174056864953229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0.18414137988736001</v>
      </c>
      <c r="C12" s="98">
        <v>0.95</v>
      </c>
      <c r="D12" s="56">
        <v>13.174056864953229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0.18414137988736001</v>
      </c>
      <c r="C13" s="98">
        <v>0.95</v>
      </c>
      <c r="D13" s="56">
        <v>13.174056864953229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0.18414137988736001</v>
      </c>
      <c r="C14" s="98">
        <v>0.95</v>
      </c>
      <c r="D14" s="56">
        <v>13.174056864953229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0.18414137988736001</v>
      </c>
      <c r="C15" s="98">
        <v>0.95</v>
      </c>
      <c r="D15" s="56">
        <v>13.174056864953229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</v>
      </c>
      <c r="C16" s="98">
        <v>0.95</v>
      </c>
      <c r="D16" s="56">
        <v>0.8808226648485783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0.5</v>
      </c>
      <c r="C18" s="98">
        <v>0.95</v>
      </c>
      <c r="D18" s="56">
        <v>12.125692061066291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12.125692061066291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0.95944239999999992</v>
      </c>
      <c r="C21" s="98">
        <v>0.95</v>
      </c>
      <c r="D21" s="56">
        <v>42.928727714054823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22.81909077660552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0</v>
      </c>
      <c r="C23" s="98">
        <v>0.95</v>
      </c>
      <c r="D23" s="56">
        <v>4.3805110504495071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0.24252689042959999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0.14361877431775999</v>
      </c>
      <c r="C27" s="98">
        <v>0.95</v>
      </c>
      <c r="D27" s="56">
        <v>18.736558774124251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0.75747098402296298</v>
      </c>
      <c r="C29" s="98">
        <v>0.95</v>
      </c>
      <c r="D29" s="56">
        <v>130.1061963456628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0.45612429612360672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1.4E-2</v>
      </c>
      <c r="C32" s="98">
        <v>0.95</v>
      </c>
      <c r="D32" s="56">
        <v>1.907908978834626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0.15718509999999999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0</v>
      </c>
      <c r="C38" s="98">
        <v>0.95</v>
      </c>
      <c r="D38" s="56">
        <v>0.79566689708810245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0.89958218111007004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9VWRawfHIBQUHSqAvK25nItMTe/i98qxAuX6DmtblzJOzAi24+8w+K+8oxobLZPe3DxaRpX09FBs95oufLbUdA==" saltValue="tQQQ9YzNkIvJwbmpG4Tbv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CmLgkBAsr80aChCj3flLsXGLfZ4emO9qlAf8Z1qwiBP0/Sk5oQ7Q+Vbqy14Lu+MKPP3XhX9t4QN2nyVXjnqE2g==" saltValue="GnNDhdX2jDrc7rIf0vB7C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epTE+eQWDn9B/bIaghdpHsSMCM9SmCC3/43QyN7qFiYj5awm14TuqFlE+CaSNtF/xM3IWZTC2dfKTjKKblWXJg==" saltValue="oGLCaykNNZP2Ozxxy2vak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3.3</v>
      </c>
      <c r="C2" s="21">
        <f>'Entradas de población-año base'!C52</f>
        <v>3.3</v>
      </c>
      <c r="D2" s="21">
        <f>'Entradas de población-año base'!C53</f>
        <v>3.3</v>
      </c>
      <c r="E2" s="21">
        <f>'Entradas de población-año base'!C54</f>
        <v>3.3</v>
      </c>
      <c r="F2" s="21">
        <f>'Entradas de población-año base'!C55</f>
        <v>3.3</v>
      </c>
    </row>
    <row r="3" spans="1:6" ht="15.75" customHeight="1" x14ac:dyDescent="0.2">
      <c r="A3" s="3" t="s">
        <v>6</v>
      </c>
      <c r="B3" s="21">
        <f>frac_mam_1month * 2.6</f>
        <v>7.4341165646910762E-2</v>
      </c>
      <c r="C3" s="21">
        <f>frac_mam_1_5months * 2.6</f>
        <v>7.4341165646910762E-2</v>
      </c>
      <c r="D3" s="21">
        <f>frac_mam_6_11months * 2.6</f>
        <v>1.219952534884226E-2</v>
      </c>
      <c r="E3" s="21">
        <f>frac_mam_12_23months * 2.6</f>
        <v>4.0842667967080984E-2</v>
      </c>
      <c r="F3" s="21">
        <f>frac_mam_24_59months * 2.6</f>
        <v>5.9417441859841255E-2</v>
      </c>
    </row>
    <row r="4" spans="1:6" ht="15.75" customHeight="1" x14ac:dyDescent="0.2">
      <c r="A4" s="3" t="s">
        <v>207</v>
      </c>
      <c r="B4" s="21">
        <f>frac_sam_1month * 2.6</f>
        <v>1.7837934941053502E-2</v>
      </c>
      <c r="C4" s="21">
        <f>frac_sam_1_5months * 2.6</f>
        <v>1.7837934941053502E-2</v>
      </c>
      <c r="D4" s="21">
        <f>frac_sam_6_11months * 2.6</f>
        <v>4.3339703977107985E-2</v>
      </c>
      <c r="E4" s="21">
        <f>frac_sam_12_23months * 2.6</f>
        <v>2.0938805118203181E-2</v>
      </c>
      <c r="F4" s="21">
        <f>frac_sam_24_59months * 2.6</f>
        <v>6.6723772324622397E-3</v>
      </c>
    </row>
  </sheetData>
  <sheetProtection algorithmName="SHA-512" hashValue="Fq++IsMwtwERrQsiQM8jXf8AzoD6lz2W/qhS1QrjMCQIWAgmNV7BsuS8Oofip30G3FjqBMfaO06Xqd/YqhhypQ==" saltValue="xTappcXI9lDzC4tB7lm9m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0.189</v>
      </c>
      <c r="E2" s="60">
        <f>food_insecure</f>
        <v>0.189</v>
      </c>
      <c r="F2" s="60">
        <f>food_insecure</f>
        <v>0.189</v>
      </c>
      <c r="G2" s="60">
        <f>food_insecure</f>
        <v>0.189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0.189</v>
      </c>
      <c r="F5" s="60">
        <f>food_insecure</f>
        <v>0.189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0.189</v>
      </c>
      <c r="F8" s="60">
        <f>food_insecure</f>
        <v>0.189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0.189</v>
      </c>
      <c r="F9" s="60">
        <f>food_insecure</f>
        <v>0.189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0.87599999999999989</v>
      </c>
      <c r="E10" s="60">
        <f>IF(ISBLANK(comm_deliv), frac_children_health_facility,1)</f>
        <v>0.87599999999999989</v>
      </c>
      <c r="F10" s="60">
        <f>IF(ISBLANK(comm_deliv), frac_children_health_facility,1)</f>
        <v>0.87599999999999989</v>
      </c>
      <c r="G10" s="60">
        <f>IF(ISBLANK(comm_deliv), frac_children_health_facility,1)</f>
        <v>0.87599999999999989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0.189</v>
      </c>
      <c r="I15" s="60">
        <f>food_insecure</f>
        <v>0.189</v>
      </c>
      <c r="J15" s="60">
        <f>food_insecure</f>
        <v>0.189</v>
      </c>
      <c r="K15" s="60">
        <f>food_insecure</f>
        <v>0.189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0.755</v>
      </c>
      <c r="I18" s="60">
        <f>frac_PW_health_facility</f>
        <v>0.755</v>
      </c>
      <c r="J18" s="60">
        <f>frac_PW_health_facility</f>
        <v>0.755</v>
      </c>
      <c r="K18" s="60">
        <f>frac_PW_health_facility</f>
        <v>0.755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0.15</v>
      </c>
      <c r="I19" s="60">
        <f>frac_malaria_risk</f>
        <v>0.15</v>
      </c>
      <c r="J19" s="60">
        <f>frac_malaria_risk</f>
        <v>0.15</v>
      </c>
      <c r="K19" s="60">
        <f>frac_malaria_risk</f>
        <v>0.15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0.221</v>
      </c>
      <c r="M24" s="60">
        <f>famplan_unmet_need</f>
        <v>0.221</v>
      </c>
      <c r="N24" s="60">
        <f>famplan_unmet_need</f>
        <v>0.221</v>
      </c>
      <c r="O24" s="60">
        <f>famplan_unmet_need</f>
        <v>0.221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8.3284207152557271E-2</v>
      </c>
      <c r="M25" s="60">
        <f>(1-food_insecure)*(0.49)+food_insecure*(0.7)</f>
        <v>0.52968999999999999</v>
      </c>
      <c r="N25" s="60">
        <f>(1-food_insecure)*(0.49)+food_insecure*(0.7)</f>
        <v>0.52968999999999999</v>
      </c>
      <c r="O25" s="60">
        <f>(1-food_insecure)*(0.49)+food_insecure*(0.7)</f>
        <v>0.52968999999999999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3.5693231636810263E-2</v>
      </c>
      <c r="M26" s="60">
        <f>(1-food_insecure)*(0.21)+food_insecure*(0.3)</f>
        <v>0.22700999999999999</v>
      </c>
      <c r="N26" s="60">
        <f>(1-food_insecure)*(0.21)+food_insecure*(0.3)</f>
        <v>0.22700999999999999</v>
      </c>
      <c r="O26" s="60">
        <f>(1-food_insecure)*(0.21)+food_insecure*(0.3)</f>
        <v>0.22700999999999999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3.8254540580749466E-2</v>
      </c>
      <c r="M27" s="60">
        <f>(1-food_insecure)*(0.3)</f>
        <v>0.24329999999999996</v>
      </c>
      <c r="N27" s="60">
        <f>(1-food_insecure)*(0.3)</f>
        <v>0.24329999999999996</v>
      </c>
      <c r="O27" s="60">
        <f>(1-food_insecure)*(0.3)</f>
        <v>0.24329999999999996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0.84276802062988287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0.15</v>
      </c>
      <c r="D34" s="60">
        <f t="shared" si="3"/>
        <v>0.15</v>
      </c>
      <c r="E34" s="60">
        <f t="shared" si="3"/>
        <v>0.15</v>
      </c>
      <c r="F34" s="60">
        <f t="shared" si="3"/>
        <v>0.15</v>
      </c>
      <c r="G34" s="60">
        <f t="shared" si="3"/>
        <v>0.15</v>
      </c>
      <c r="H34" s="60">
        <f t="shared" si="3"/>
        <v>0.15</v>
      </c>
      <c r="I34" s="60">
        <f t="shared" si="3"/>
        <v>0.15</v>
      </c>
      <c r="J34" s="60">
        <f t="shared" si="3"/>
        <v>0.15</v>
      </c>
      <c r="K34" s="60">
        <f t="shared" si="3"/>
        <v>0.15</v>
      </c>
      <c r="L34" s="60">
        <f t="shared" si="3"/>
        <v>0.15</v>
      </c>
      <c r="M34" s="60">
        <f t="shared" si="3"/>
        <v>0.15</v>
      </c>
      <c r="N34" s="60">
        <f t="shared" si="3"/>
        <v>0.15</v>
      </c>
      <c r="O34" s="60">
        <f t="shared" si="3"/>
        <v>0.15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+yY2YuHdeDCvisGvD9YY3JZOKvgI4Pz8A7N1HmvwYqpiSlEduJ4Z4aVoVDBU1vKI05juM3XqzZSChM9DAqTf+g==" saltValue="si1MFyMM+3Fp16dTYj6b6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vSPQdTw1IpHgrtQKQtacvQHqnHdRrCkVbXUZ7mf33opNl0317otPTYv+KRzhsmGoNEvXRMqMQwgK9qREyZtPeQ==" saltValue="DLq9USH9nKLAzn4vVUD7P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KqakqttpSJJjsxwggAY2GurqbRXp7OGwaa9/OTsuOsJYnHgFwh074wE/cY0pInZ9g6Ti+9LOHH4ZZhK4w87/hA==" saltValue="sdcNiu7aCh1sXpk4aQbHa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wlb5YmXuBgDt/3UF7mW6amypruUYJQMlCa6CA3mPQNOOm0ETQaLpduXNlniCfSNhwZ9vn/vXg69I1pIpHJydlA==" saltValue="xWFi4TJDQowCbt0gP9R+t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A3cgfGk+PTJrlIDd7dvGU78F9AdrlbaL8H8x/RNFWSicOA3RVIHgGLIglUv3Gz0DECwNstYndQNLHOIxR3nm9g==" saltValue="53MAkrPVYZQildMneJJfj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Eg8F84i+yUZW/nqKtFjbKyxLhAYHp4yjI3Js8Qc9ad+avsX4NoVpx7skLv40qktCQLOCyXw0b7qMH7ky+68eTw==" saltValue="4U2sFfW/ep6uvRhJgKDm3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2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2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2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2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2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2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2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2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2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zEyRFFHf5MrRByKMLwyGG/1J5senKcd4Woyi/QBneszdkUc2WRIw3HekWJ16jWjOpUPiM9AXOBYTrr8uJSqyxA==" saltValue="ry3fNWGyCBRELu8QlTQ4AA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ugzK9rU/SRxmuo+0PrRuCMAP3TwkUvXb4d7gDt1f8N0ZBwrDyF7V3zhz5cirKsiGjrR6YDAPW3h05IlYADKO5g==" saltValue="HVf3FRQaSUCI89srExQ+N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GepctLsnBStYW6x8s+2T3kbh1IzPSCyMCJhW1VRpv59gm/0/AD43uoZxWCFNunVW9gvbYxTfjll+vlWi9Tu/Ug==" saltValue="v6jsnXeVUAQ7Wbv9h6sgJ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QDbjFTzdb7KSnt75C4lwouPfbDyMjIT0Cd2TnRQFIql247dy1zpjWBMTBiLHeGNt33UQ5Ek005e2SPhauK7l2g==" saltValue="d4zxTWYHdni9xXJAJoOlF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hcal7r0UpG0SZM9Bh2t4zIvtivJgRrRdlrVxwN2eWBZPaOJPRaQSvd9g7j520XrTdvHGPF8ROAKxCZKgUojROA==" saltValue="B5P8splPpvOHu6FM3cuT2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t4B7qokk4WbK2y+D01HhUIxM1zYGTRiQ6piHmUnfgJ+Bh4XYnXF9N79FQFA4YtdltCMpnFGkPp93IbbQ1FYN3w==" saltValue="Tg6EWD7+L9VIobsgbtYts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I7tXypX6UvJC6ANIMqyHMRR3jui2pNFQW8VW3sUJfr8EFmE8/GqQaljPEwDX8Q7T0Y59mx/Ow1v3NfwWZjupJA==" saltValue="rY6XwhV1t0q5V3wSE2enK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UPjW+VhP4XS9IXxQz2HA8Piu44Wlnlht5i2U0H+vHCCr7F4DKbFqcQa5EuWE7SkLAClRjxqH+bR6GLQZWEucbg==" saltValue="vW/N6Ek5QKKJSd4LFLQaI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tZbyVuY47TibAbTSue3vGKCtxV6X+xQKRl0HZnM8FnYeb+mEiU/e24joMYkmWr5C3Mcv1HjPFVajS3T/owNE4g==" saltValue="Lkf6/gZMlByq97mLx4pE2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2023-01-25T12:03:06Z</dcterms:modified>
</cp:coreProperties>
</file>