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31AF17A9-47CD-4C69-90EA-7112DFB2DF68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21" i="2"/>
  <c r="A19" i="2"/>
  <c r="A18" i="2"/>
  <c r="H11" i="2"/>
  <c r="G11" i="2"/>
  <c r="I11" i="2" s="1"/>
  <c r="H10" i="2"/>
  <c r="G10" i="2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H4" i="2"/>
  <c r="G4" i="2"/>
  <c r="I4" i="2" s="1"/>
  <c r="H3" i="2"/>
  <c r="G3" i="2"/>
  <c r="I3" i="2" s="1"/>
  <c r="H2" i="2"/>
  <c r="G2" i="2"/>
  <c r="I2" i="2" s="1"/>
  <c r="A2" i="2"/>
  <c r="A31" i="2" s="1"/>
  <c r="C33" i="1"/>
  <c r="C20" i="1"/>
  <c r="A24" i="2" l="1"/>
  <c r="A26" i="2"/>
  <c r="A25" i="2"/>
  <c r="A27" i="2"/>
  <c r="A32" i="2"/>
  <c r="I10" i="2"/>
  <c r="A33" i="2"/>
  <c r="A29" i="2"/>
  <c r="A3" i="2"/>
  <c r="A4" i="2" s="1"/>
  <c r="A5" i="2" s="1"/>
  <c r="A6" i="2" s="1"/>
  <c r="A7" i="2" s="1"/>
  <c r="A8" i="2" s="1"/>
  <c r="A9" i="2" s="1"/>
  <c r="A10" i="2" s="1"/>
  <c r="A11" i="2" s="1"/>
  <c r="A34" i="2"/>
  <c r="A37" i="2"/>
  <c r="A13" i="2"/>
  <c r="A16" i="2"/>
  <c r="A35" i="2"/>
  <c r="I5" i="2"/>
  <c r="A17" i="2"/>
  <c r="A39" i="2"/>
  <c r="A12" i="2"/>
  <c r="A20" i="2"/>
  <c r="A28" i="2"/>
  <c r="A36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<sst xmlns="http://schemas.openxmlformats.org/spreadsheetml/2006/main" count="2092" uniqueCount="337">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</sst>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321513.880859375</v>
      </c>
    </row>
    <row r="8" spans="1:3" ht="15" customHeight="1" x14ac:dyDescent="0.2">
      <c r="B8" s="5" t="s">
        <v>19</v>
      </c>
      <c r="C8" s="44">
        <v>1.2999999999999999E-2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0.89062347412109399</v>
      </c>
    </row>
    <row r="11" spans="1:3" ht="15" customHeight="1" x14ac:dyDescent="0.2">
      <c r="B11" s="5" t="s">
        <v>22</v>
      </c>
      <c r="C11" s="45">
        <v>0.62</v>
      </c>
    </row>
    <row r="12" spans="1:3" ht="15" customHeight="1" x14ac:dyDescent="0.2">
      <c r="B12" s="5" t="s">
        <v>23</v>
      </c>
      <c r="C12" s="45">
        <v>0.72</v>
      </c>
    </row>
    <row r="13" spans="1:3" ht="15" customHeight="1" x14ac:dyDescent="0.2">
      <c r="B13" s="5" t="s">
        <v>24</v>
      </c>
      <c r="C13" s="45">
        <v>0.249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0.12920000000000001</v>
      </c>
    </row>
    <row r="24" spans="1:3" ht="15" customHeight="1" x14ac:dyDescent="0.2">
      <c r="B24" s="15" t="s">
        <v>33</v>
      </c>
      <c r="C24" s="45">
        <v>0.48199999999999998</v>
      </c>
    </row>
    <row r="25" spans="1:3" ht="15" customHeight="1" x14ac:dyDescent="0.2">
      <c r="B25" s="15" t="s">
        <v>34</v>
      </c>
      <c r="C25" s="45">
        <v>0.36709999999999998</v>
      </c>
    </row>
    <row r="26" spans="1:3" ht="15" customHeight="1" x14ac:dyDescent="0.2">
      <c r="B26" s="15" t="s">
        <v>35</v>
      </c>
      <c r="C26" s="45">
        <v>2.1700000000000001E-2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0.35675533525383901</v>
      </c>
    </row>
    <row r="30" spans="1:3" ht="14.25" customHeight="1" x14ac:dyDescent="0.2">
      <c r="B30" s="25" t="s">
        <v>38</v>
      </c>
      <c r="C30" s="99">
        <v>6.5910586704521698E-2</v>
      </c>
    </row>
    <row r="31" spans="1:3" ht="14.25" customHeight="1" x14ac:dyDescent="0.2">
      <c r="B31" s="25" t="s">
        <v>39</v>
      </c>
      <c r="C31" s="99">
        <v>9.262041217609189E-2</v>
      </c>
    </row>
    <row r="32" spans="1:3" ht="14.25" customHeight="1" x14ac:dyDescent="0.2">
      <c r="B32" s="25" t="s">
        <v>40</v>
      </c>
      <c r="C32" s="99">
        <v>0.48471366586554798</v>
      </c>
    </row>
    <row r="33" spans="1:5" ht="13.15" customHeight="1" x14ac:dyDescent="0.2">
      <c r="B33" s="27" t="s">
        <v>41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3.3282969003637</v>
      </c>
    </row>
    <row r="38" spans="1:5" ht="15" customHeight="1" x14ac:dyDescent="0.2">
      <c r="B38" s="11" t="s">
        <v>45</v>
      </c>
      <c r="C38" s="43">
        <v>5.6288043386920901</v>
      </c>
      <c r="D38" s="12"/>
      <c r="E38" s="13"/>
    </row>
    <row r="39" spans="1:5" ht="15" customHeight="1" x14ac:dyDescent="0.2">
      <c r="B39" s="11" t="s">
        <v>46</v>
      </c>
      <c r="C39" s="43">
        <v>6.7317453641927703</v>
      </c>
      <c r="D39" s="12"/>
      <c r="E39" s="12"/>
    </row>
    <row r="40" spans="1:5" ht="15" customHeight="1" x14ac:dyDescent="0.2">
      <c r="B40" s="11" t="s">
        <v>47</v>
      </c>
      <c r="C40" s="100">
        <v>0.1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5.019907774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2.11395375E-2</v>
      </c>
      <c r="D45" s="12"/>
    </row>
    <row r="46" spans="1:5" ht="15.75" customHeight="1" x14ac:dyDescent="0.2">
      <c r="B46" s="11" t="s">
        <v>52</v>
      </c>
      <c r="C46" s="45">
        <v>7.4799499999999991E-2</v>
      </c>
      <c r="D46" s="12"/>
    </row>
    <row r="47" spans="1:5" ht="15.75" customHeight="1" x14ac:dyDescent="0.2">
      <c r="B47" s="11" t="s">
        <v>53</v>
      </c>
      <c r="C47" s="45">
        <v>0.13228186250000001</v>
      </c>
      <c r="D47" s="12"/>
      <c r="E47" s="13"/>
    </row>
    <row r="48" spans="1:5" ht="15" customHeight="1" x14ac:dyDescent="0.2">
      <c r="B48" s="11" t="s">
        <v>54</v>
      </c>
      <c r="C48" s="46">
        <v>0.77177909999999994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2.8</v>
      </c>
      <c r="D51" s="12"/>
    </row>
    <row r="52" spans="1:4" ht="15" customHeight="1" x14ac:dyDescent="0.2">
      <c r="B52" s="11" t="s">
        <v>57</v>
      </c>
      <c r="C52" s="100">
        <v>2.8</v>
      </c>
    </row>
    <row r="53" spans="1:4" ht="15.75" customHeight="1" x14ac:dyDescent="0.2">
      <c r="B53" s="11" t="s">
        <v>58</v>
      </c>
      <c r="C53" s="100">
        <v>2.8</v>
      </c>
    </row>
    <row r="54" spans="1:4" ht="15.75" customHeight="1" x14ac:dyDescent="0.2">
      <c r="B54" s="11" t="s">
        <v>59</v>
      </c>
      <c r="C54" s="100">
        <v>2.8</v>
      </c>
    </row>
    <row r="55" spans="1:4" ht="15.75" customHeight="1" x14ac:dyDescent="0.2">
      <c r="B55" s="11" t="s">
        <v>60</v>
      </c>
      <c r="C55" s="100">
        <v>2.8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1.6428571428571431E-2</v>
      </c>
    </row>
    <row r="59" spans="1:4" ht="15.75" customHeight="1" x14ac:dyDescent="0.2">
      <c r="B59" s="11" t="s">
        <v>63</v>
      </c>
      <c r="C59" s="45">
        <v>0.63615299999999997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9.5600833999999899E-2</v>
      </c>
    </row>
    <row r="63" spans="1:4" ht="15.75" customHeight="1" x14ac:dyDescent="0.2">
      <c r="A63" s="4"/>
    </row>
  </sheetData>
  <sheetProtection algorithmName="SHA-512" hashValue="sBou8p6ElzuWeB1lH7TqKTVN6EkFIduhOD/ZgcFk0GbSqwCjr8WXL9k7UMRq2emDiLKMirJK4Lwmlssa4q2zLw==" saltValue="0jiC64haHFylWVXQiNMHx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</v>
      </c>
      <c r="C2" s="98">
        <v>0.95</v>
      </c>
      <c r="D2" s="56">
        <v>79.237944195058446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40.355493895445491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746.9025246802014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7.6012727459732039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13.487793339241399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13.487793339241399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13.487793339241399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13.487793339241399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13.487793339241399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13.487793339241399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1.1945591391367461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17.118703595251191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17.118703595251191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0.92700000000000005</v>
      </c>
      <c r="C21" s="98">
        <v>0.95</v>
      </c>
      <c r="D21" s="56">
        <v>80.311935815133822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23.524997843753901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4.5765963468796116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0.23432613299999999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</v>
      </c>
      <c r="C27" s="98">
        <v>0.95</v>
      </c>
      <c r="D27" s="56">
        <v>19.061801059277851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0.86003698112403693</v>
      </c>
      <c r="C29" s="98">
        <v>0.95</v>
      </c>
      <c r="D29" s="56">
        <v>162.0533213325655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1.508389493917569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</v>
      </c>
      <c r="C32" s="98">
        <v>0.95</v>
      </c>
      <c r="D32" s="56">
        <v>2.613816007068833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3.6602630150362971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0.99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PE6YXjSKeTHCI4e8xLAlxYv7pPJSJx7wN6FpwZk2lKMxtTqahxQ9paYY1DzIljVXw/oObxUdDb9+Jurhvvylzw==" saltValue="jFUysFy1oK34l3dqzjkNd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wGehlHm4hpUAnIdCf21TAV+kHOTgcJvgYDmwPYKbdvrc3VjQBsiSNPGEdSl31h3KWh7HOd5I4zLgjS7pc1YEhg==" saltValue="dkBRsDI3BeRO3eH2qRC3E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oLbomGm30BmN8Iq6p1OZzjeWmi5f5WgEP9ZkFKsfWGUt9mM/lEOlPagdb/MIEjjF5wSO86fB+5VrN3j/g5a6qA==" saltValue="oc7Lkr+KHup1mzZCtpPBZ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2.8</v>
      </c>
      <c r="C2" s="21">
        <f>'Données pop de l''année de ref'!C52</f>
        <v>2.8</v>
      </c>
      <c r="D2" s="21">
        <f>'Données pop de l''année de ref'!C53</f>
        <v>2.8</v>
      </c>
      <c r="E2" s="21">
        <f>'Données pop de l''année de ref'!C54</f>
        <v>2.8</v>
      </c>
      <c r="F2" s="21">
        <f>'Données pop de l''année de ref'!C55</f>
        <v>2.8</v>
      </c>
    </row>
    <row r="3" spans="1:6" ht="15.75" customHeight="1" x14ac:dyDescent="0.2">
      <c r="A3" s="3" t="s">
        <v>209</v>
      </c>
      <c r="B3" s="21">
        <f>frac_mam_1month * 2.6</f>
        <v>0.18201947558038559</v>
      </c>
      <c r="C3" s="21">
        <f>frac_mam_1_5months * 2.6</f>
        <v>0.18201947558038559</v>
      </c>
      <c r="D3" s="21">
        <f>frac_mam_6_11months * 2.6</f>
        <v>0.10527129588199952</v>
      </c>
      <c r="E3" s="21">
        <f>frac_mam_12_23months * 2.6</f>
        <v>5.6188773086799863E-2</v>
      </c>
      <c r="F3" s="21">
        <f>frac_mam_24_59months * 2.6</f>
        <v>4.7173474617443208E-2</v>
      </c>
    </row>
    <row r="4" spans="1:6" ht="15.75" customHeight="1" x14ac:dyDescent="0.2">
      <c r="A4" s="3" t="s">
        <v>208</v>
      </c>
      <c r="B4" s="21">
        <f>frac_sam_1month * 2.6</f>
        <v>0.11838290131538888</v>
      </c>
      <c r="C4" s="21">
        <f>frac_sam_1_5months * 2.6</f>
        <v>0.11838290131538888</v>
      </c>
      <c r="D4" s="21">
        <f>frac_sam_6_11months * 2.6</f>
        <v>5.3628706098394707E-2</v>
      </c>
      <c r="E4" s="21">
        <f>frac_sam_12_23months * 2.6</f>
        <v>3.5214787126157339E-2</v>
      </c>
      <c r="F4" s="21">
        <f>frac_sam_24_59months * 2.6</f>
        <v>3.1943934111073664E-2</v>
      </c>
    </row>
  </sheetData>
  <sheetProtection algorithmName="SHA-512" hashValue="JZyhJfoe/HFfTpKQyzBQGDpjdxhqdEoMrR4Fyst9/khBG01zd3hTLKB8YdB7hcSGSzqH8/7A0ivp7vU95xkvbA==" saltValue="EAIZ3C2N+26IyWAvMkM6z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1.2999999999999999E-2</v>
      </c>
      <c r="E2" s="60">
        <f>food_insecure</f>
        <v>1.2999999999999999E-2</v>
      </c>
      <c r="F2" s="60">
        <f>food_insecure</f>
        <v>1.2999999999999999E-2</v>
      </c>
      <c r="G2" s="60">
        <f>food_insecure</f>
        <v>1.2999999999999999E-2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1.2999999999999999E-2</v>
      </c>
      <c r="F5" s="60">
        <f>food_insecure</f>
        <v>1.2999999999999999E-2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1.2999999999999999E-2</v>
      </c>
      <c r="F8" s="60">
        <f>food_insecure</f>
        <v>1.2999999999999999E-2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1.2999999999999999E-2</v>
      </c>
      <c r="F9" s="60">
        <f>food_insecure</f>
        <v>1.2999999999999999E-2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1.2999999999999999E-2</v>
      </c>
      <c r="I15" s="60">
        <f>food_insecure</f>
        <v>1.2999999999999999E-2</v>
      </c>
      <c r="J15" s="60">
        <f>food_insecure</f>
        <v>1.2999999999999999E-2</v>
      </c>
      <c r="K15" s="60">
        <f>food_insecure</f>
        <v>1.2999999999999999E-2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0.249</v>
      </c>
      <c r="M24" s="60">
        <f>famplan_unmet_need</f>
        <v>0.249</v>
      </c>
      <c r="N24" s="60">
        <f>famplan_unmet_need</f>
        <v>0.249</v>
      </c>
      <c r="O24" s="60">
        <f>famplan_unmet_need</f>
        <v>0.249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5.3893095596313362E-2</v>
      </c>
      <c r="M25" s="60">
        <f>(1-food_insecure)*(0.49)+food_insecure*(0.7)</f>
        <v>0.49273</v>
      </c>
      <c r="N25" s="60">
        <f>(1-food_insecure)*(0.49)+food_insecure*(0.7)</f>
        <v>0.49273</v>
      </c>
      <c r="O25" s="60">
        <f>(1-food_insecure)*(0.49)+food_insecure*(0.7)</f>
        <v>0.49273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2.3097040969848579E-2</v>
      </c>
      <c r="M26" s="60">
        <f>(1-food_insecure)*(0.21)+food_insecure*(0.3)</f>
        <v>0.21116999999999997</v>
      </c>
      <c r="N26" s="60">
        <f>(1-food_insecure)*(0.21)+food_insecure*(0.3)</f>
        <v>0.21116999999999997</v>
      </c>
      <c r="O26" s="60">
        <f>(1-food_insecure)*(0.21)+food_insecure*(0.3)</f>
        <v>0.21116999999999997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3.2386389312744068E-2</v>
      </c>
      <c r="M27" s="60">
        <f>(1-food_insecure)*(0.3)</f>
        <v>0.29609999999999997</v>
      </c>
      <c r="N27" s="60">
        <f>(1-food_insecure)*(0.3)</f>
        <v>0.29609999999999997</v>
      </c>
      <c r="O27" s="60">
        <f>(1-food_insecure)*(0.3)</f>
        <v>0.29609999999999997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0.89062347412109399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4QwIkeAyazlBhrYgzPw4hN2K9Ayj1hCan3Zoync1X/026YdToWUtE2TE6VCklDr0CSuxNFp1tnbl4YVzM4WkTg==" saltValue="9R/tvtV2tTKrt1SLkktAf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jsdeM747S5GKXlZTWnexf2V0tniSe4SXTNP8LJylqqPNSo2y3XjkmjYX0TMrzTKMDVXDBny4ypNqDV8NOEhR8Q==" saltValue="zWjQM5aAE+j6tGu3c5WK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ylFXRmGX1KNPntCWWiOTclGoQd5O4zU7MLO/Yfp7+shOZWTEVMZAYC/vj+5S52yut7Eetgz+DS5O0mpAl/5ggA==" saltValue="kz0x/32wHdKNMnEB55GZf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12eh6nCHavgITt7PBElh3+hSNCSEqQv4GbXZBbNCx4SZkPDyKql1ZPLSHNsXrhJ3hfZ0LL5pXY71n4iHPgcMGQ==" saltValue="dThaVzoEmbrBFAA4KSe/b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2XlJxK8MMIP11c8B7xB+GwvasXF5EUUTYkQg1FEEmo4RUJXo8q9Y7zLlPhrWoTQue5UlcrrD/yr53fzASOeNzQ==" saltValue="y7iF/iCVQAn4tN/0bfrqt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uMo/DLgNdNJcnQ88dQ11pR9fQ9dVN7hOYiohQQxMwaLK/a8vroJZQZYBgLJR9+xjqVeMMds0/uAAiJO2Q/EeWQ==" saltValue="351m/t7NQl682ELYXjBJ/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62199.62</v>
      </c>
      <c r="C2" s="49">
        <v>154000</v>
      </c>
      <c r="D2" s="49">
        <v>317000</v>
      </c>
      <c r="E2" s="49">
        <v>452000</v>
      </c>
      <c r="F2" s="49">
        <v>510000</v>
      </c>
      <c r="G2" s="17">
        <f t="shared" ref="G2:G11" si="0">C2+D2+E2+F2</f>
        <v>1433000</v>
      </c>
      <c r="H2" s="17">
        <f t="shared" ref="H2:H11" si="1">(B2 + stillbirth*B2/(1000-stillbirth))/(1-abortion)</f>
        <v>71037.990524519744</v>
      </c>
      <c r="I2" s="17">
        <f t="shared" ref="I2:I11" si="2">G2-H2</f>
        <v>1361962.0094754803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61197.364999999998</v>
      </c>
      <c r="C3" s="50">
        <v>159000</v>
      </c>
      <c r="D3" s="50">
        <v>305000</v>
      </c>
      <c r="E3" s="50">
        <v>445000</v>
      </c>
      <c r="F3" s="50">
        <v>503000</v>
      </c>
      <c r="G3" s="17">
        <f t="shared" si="0"/>
        <v>1412000</v>
      </c>
      <c r="H3" s="17">
        <f t="shared" si="1"/>
        <v>69893.318238850581</v>
      </c>
      <c r="I3" s="17">
        <f t="shared" si="2"/>
        <v>1342106.6817611493</v>
      </c>
    </row>
    <row r="4" spans="1:9" ht="15.75" customHeight="1" x14ac:dyDescent="0.2">
      <c r="A4" s="5">
        <f t="shared" si="3"/>
        <v>2023</v>
      </c>
      <c r="B4" s="49">
        <v>60203.25</v>
      </c>
      <c r="C4" s="50">
        <v>163000</v>
      </c>
      <c r="D4" s="50">
        <v>296000</v>
      </c>
      <c r="E4" s="50">
        <v>437000</v>
      </c>
      <c r="F4" s="50">
        <v>495000</v>
      </c>
      <c r="G4" s="17">
        <f t="shared" si="0"/>
        <v>1391000</v>
      </c>
      <c r="H4" s="17">
        <f t="shared" si="1"/>
        <v>68757.942621599504</v>
      </c>
      <c r="I4" s="17">
        <f t="shared" si="2"/>
        <v>1322242.0573784006</v>
      </c>
    </row>
    <row r="5" spans="1:9" ht="15.75" customHeight="1" x14ac:dyDescent="0.2">
      <c r="A5" s="5">
        <f t="shared" si="3"/>
        <v>2024</v>
      </c>
      <c r="B5" s="49">
        <v>59208.430000000008</v>
      </c>
      <c r="C5" s="50">
        <v>167000</v>
      </c>
      <c r="D5" s="50">
        <v>289000</v>
      </c>
      <c r="E5" s="50">
        <v>427000</v>
      </c>
      <c r="F5" s="50">
        <v>485000</v>
      </c>
      <c r="G5" s="17">
        <f t="shared" si="0"/>
        <v>1368000</v>
      </c>
      <c r="H5" s="17">
        <f t="shared" si="1"/>
        <v>67621.761826064059</v>
      </c>
      <c r="I5" s="17">
        <f t="shared" si="2"/>
        <v>1300378.238173936</v>
      </c>
    </row>
    <row r="6" spans="1:9" ht="15.75" customHeight="1" x14ac:dyDescent="0.2">
      <c r="A6" s="5">
        <f t="shared" si="3"/>
        <v>2025</v>
      </c>
      <c r="B6" s="49">
        <v>58213.127000000008</v>
      </c>
      <c r="C6" s="50">
        <v>168000</v>
      </c>
      <c r="D6" s="50">
        <v>286000</v>
      </c>
      <c r="E6" s="50">
        <v>413000</v>
      </c>
      <c r="F6" s="50">
        <v>478000</v>
      </c>
      <c r="G6" s="17">
        <f t="shared" si="0"/>
        <v>1345000</v>
      </c>
      <c r="H6" s="17">
        <f t="shared" si="1"/>
        <v>66485.029397746548</v>
      </c>
      <c r="I6" s="17">
        <f t="shared" si="2"/>
        <v>1278514.9706022535</v>
      </c>
    </row>
    <row r="7" spans="1:9" ht="15.75" customHeight="1" x14ac:dyDescent="0.2">
      <c r="A7" s="5">
        <f t="shared" si="3"/>
        <v>2026</v>
      </c>
      <c r="B7" s="49">
        <v>57255.721199999993</v>
      </c>
      <c r="C7" s="50">
        <v>168000</v>
      </c>
      <c r="D7" s="50">
        <v>287000</v>
      </c>
      <c r="E7" s="50">
        <v>396000</v>
      </c>
      <c r="F7" s="50">
        <v>471000</v>
      </c>
      <c r="G7" s="17">
        <f t="shared" si="0"/>
        <v>1322000</v>
      </c>
      <c r="H7" s="17">
        <f t="shared" si="1"/>
        <v>65391.579242447842</v>
      </c>
      <c r="I7" s="17">
        <f t="shared" si="2"/>
        <v>1256608.4207575521</v>
      </c>
    </row>
    <row r="8" spans="1:9" ht="15.75" customHeight="1" x14ac:dyDescent="0.2">
      <c r="A8" s="5">
        <f t="shared" si="3"/>
        <v>2027</v>
      </c>
      <c r="B8" s="49">
        <v>56297.59199999999</v>
      </c>
      <c r="C8" s="50">
        <v>166000</v>
      </c>
      <c r="D8" s="50">
        <v>291000</v>
      </c>
      <c r="E8" s="50">
        <v>377000</v>
      </c>
      <c r="F8" s="50">
        <v>464000</v>
      </c>
      <c r="G8" s="17">
        <f t="shared" si="0"/>
        <v>1298000</v>
      </c>
      <c r="H8" s="17">
        <f t="shared" si="1"/>
        <v>64297.302894282599</v>
      </c>
      <c r="I8" s="17">
        <f t="shared" si="2"/>
        <v>1233702.6971057174</v>
      </c>
    </row>
    <row r="9" spans="1:9" ht="15.75" customHeight="1" x14ac:dyDescent="0.2">
      <c r="A9" s="5">
        <f t="shared" si="3"/>
        <v>2028</v>
      </c>
      <c r="B9" s="49">
        <v>55338.943999999989</v>
      </c>
      <c r="C9" s="50">
        <v>163000</v>
      </c>
      <c r="D9" s="50">
        <v>296000</v>
      </c>
      <c r="E9" s="50">
        <v>356000</v>
      </c>
      <c r="F9" s="50">
        <v>459000</v>
      </c>
      <c r="G9" s="17">
        <f t="shared" si="0"/>
        <v>1274000</v>
      </c>
      <c r="H9" s="17">
        <f t="shared" si="1"/>
        <v>63202.434026267802</v>
      </c>
      <c r="I9" s="17">
        <f t="shared" si="2"/>
        <v>1210797.5659737322</v>
      </c>
    </row>
    <row r="10" spans="1:9" ht="15.75" customHeight="1" x14ac:dyDescent="0.2">
      <c r="A10" s="5">
        <f t="shared" si="3"/>
        <v>2029</v>
      </c>
      <c r="B10" s="49">
        <v>54371.483599999978</v>
      </c>
      <c r="C10" s="50">
        <v>160000</v>
      </c>
      <c r="D10" s="50">
        <v>301000</v>
      </c>
      <c r="E10" s="50">
        <v>336000</v>
      </c>
      <c r="F10" s="50">
        <v>452000</v>
      </c>
      <c r="G10" s="17">
        <f t="shared" si="0"/>
        <v>1249000</v>
      </c>
      <c r="H10" s="17">
        <f t="shared" si="1"/>
        <v>62097.500543908129</v>
      </c>
      <c r="I10" s="17">
        <f t="shared" si="2"/>
        <v>1186902.4994560918</v>
      </c>
    </row>
    <row r="11" spans="1:9" ht="15.75" customHeight="1" x14ac:dyDescent="0.2">
      <c r="A11" s="5">
        <f t="shared" si="3"/>
        <v>2030</v>
      </c>
      <c r="B11" s="49">
        <v>53412.480000000003</v>
      </c>
      <c r="C11" s="50">
        <v>158000</v>
      </c>
      <c r="D11" s="50">
        <v>306000</v>
      </c>
      <c r="E11" s="50">
        <v>318000</v>
      </c>
      <c r="F11" s="50">
        <v>445000</v>
      </c>
      <c r="G11" s="17">
        <f t="shared" si="0"/>
        <v>1227000</v>
      </c>
      <c r="H11" s="17">
        <f t="shared" si="1"/>
        <v>61002.225546250935</v>
      </c>
      <c r="I11" s="17">
        <f t="shared" si="2"/>
        <v>1165997.7744537489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fMJhbq3KsSXI6YNcq2YHwO15m3RQ26HJdf1MnePd7FNBmcVu94da6VYkbvRJHwpcTLydGbEE1GsoL6xr0fQygg==" saltValue="lh+dupISQLLoOnzwgJqUo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BNFmAQK8M7eu4Nc745KyHYJhbhmQqPWNmirkwbw0ffKswRFJZ0YIGmTYh+lWIPqfCx6z7rwDu9XAiHR9n0LwAA==" saltValue="SrsAq77z4hXUdRn4pMS2Q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hUauqaCjK7jeavC4oAKwKORl8jynehitu62XbLABfG2qpGhaNqPip49nh26EE+COtHO/om4z7osrs52pi9tlaA==" saltValue="hQJJlUSAqG0/GXAJ+MJwP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Q6ISEnZGoWH4Wb7s9UtkbunyfqBVmejveQalxAY9aH/IaYHLPaJksqAl3c7pwtWZNWKpuGdmdjqwUpEdJ2H1JA==" saltValue="hbL+bk4osaaIlaqAZfUjF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LN/CDOJDiAEzzr6dgKA/taRBrq2m6zgfaBoPpvbHTgEUTDCHzErvkawBD7Rtq4a434BxwLfs1E5H10fh0R+hRg==" saltValue="UsuidLesRsOhghNDk94+s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FsUpbXu6gP6spUxZlbKkEvazShwxPz2b4svrbo96ba6BPBH+PEISmmjg606sh1F995kxwFLYvweXqAxyDVTQHw==" saltValue="iiuU1RgkF0k3+1avgnfSG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gyc3DKSz2bdH0H+CJJwU2Vrt8qyr3B0hbQfTXezT9GC1Q84iMFMk2Mf2ocCe/dEoHcjuUWKXsC8+iO/opAWXJA==" saltValue="drsjr0FceVb0y9bFJb0z1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PSGEHLaGbTlkpA7S5ypDcFkyYN1X5aWY3ccLgUUxLo1Rp6ZsLeIlygB8W0pPY/F4S9ZlmSKX8ppPx7zJSoCKNQ==" saltValue="GnD7fXDk+wYUBJrGNeR+V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/Y22Le2PPbS2rhgjShMmnw3JJNEeCjsy6+1nLyQJWLbiQwGGBqd1H9H1HeIVoE9V6PCH4+uCrJbpNsLnKQynrQ==" saltValue="ZZULVmFRxO+liR9fFXubW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uhZyLkW7hakhfK7E/nrL5sdxVKgwPyg7nMFCPKgEMTR72eij4wcvRJVTD8IDeTkyJvIn0dov66k2emwLOhOU1g==" saltValue="nlFWcmM4PZ/wq8jQ9OzZq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0</v>
      </c>
    </row>
    <row r="4" spans="1:8" ht="15.75" customHeight="1" x14ac:dyDescent="0.2">
      <c r="B4" s="19" t="s">
        <v>79</v>
      </c>
      <c r="C4" s="101">
        <v>4.101989841625385E-2</v>
      </c>
    </row>
    <row r="5" spans="1:8" ht="15.75" customHeight="1" x14ac:dyDescent="0.2">
      <c r="B5" s="19" t="s">
        <v>80</v>
      </c>
      <c r="C5" s="101">
        <v>4.9011360386971133E-2</v>
      </c>
    </row>
    <row r="6" spans="1:8" ht="15.75" customHeight="1" x14ac:dyDescent="0.2">
      <c r="B6" s="19" t="s">
        <v>81</v>
      </c>
      <c r="C6" s="101">
        <v>0.1588085734966799</v>
      </c>
    </row>
    <row r="7" spans="1:8" ht="15.75" customHeight="1" x14ac:dyDescent="0.2">
      <c r="B7" s="19" t="s">
        <v>82</v>
      </c>
      <c r="C7" s="101">
        <v>0.46659760697486791</v>
      </c>
    </row>
    <row r="8" spans="1:8" ht="15.75" customHeight="1" x14ac:dyDescent="0.2">
      <c r="B8" s="19" t="s">
        <v>83</v>
      </c>
      <c r="C8" s="101">
        <v>0</v>
      </c>
    </row>
    <row r="9" spans="1:8" ht="15.75" customHeight="1" x14ac:dyDescent="0.2">
      <c r="B9" s="19" t="s">
        <v>84</v>
      </c>
      <c r="C9" s="101">
        <v>0.2429543801360107</v>
      </c>
    </row>
    <row r="10" spans="1:8" ht="15.75" customHeight="1" x14ac:dyDescent="0.2">
      <c r="B10" s="19" t="s">
        <v>85</v>
      </c>
      <c r="C10" s="101">
        <v>4.1608180589216497E-2</v>
      </c>
    </row>
    <row r="11" spans="1:8" ht="15.75" customHeight="1" x14ac:dyDescent="0.2">
      <c r="B11" s="27" t="s">
        <v>41</v>
      </c>
      <c r="C11" s="48">
        <f>SUM(C3:C10)</f>
        <v>0.99999999999999989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3.5282421560556408E-2</v>
      </c>
      <c r="D14" s="55">
        <v>3.5282421560556408E-2</v>
      </c>
      <c r="E14" s="55">
        <v>3.5282421560556408E-2</v>
      </c>
      <c r="F14" s="55">
        <v>3.5282421560556408E-2</v>
      </c>
    </row>
    <row r="15" spans="1:8" ht="15.75" customHeight="1" x14ac:dyDescent="0.2">
      <c r="B15" s="19" t="s">
        <v>88</v>
      </c>
      <c r="C15" s="101">
        <v>0.23200998085446661</v>
      </c>
      <c r="D15" s="101">
        <v>0.23200998085446661</v>
      </c>
      <c r="E15" s="101">
        <v>0.23200998085446661</v>
      </c>
      <c r="F15" s="101">
        <v>0.23200998085446661</v>
      </c>
    </row>
    <row r="16" spans="1:8" ht="15.75" customHeight="1" x14ac:dyDescent="0.2">
      <c r="B16" s="19" t="s">
        <v>89</v>
      </c>
      <c r="C16" s="101">
        <v>2.5288392168542801E-2</v>
      </c>
      <c r="D16" s="101">
        <v>2.5288392168542801E-2</v>
      </c>
      <c r="E16" s="101">
        <v>2.5288392168542801E-2</v>
      </c>
      <c r="F16" s="101">
        <v>2.5288392168542801E-2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">
      <c r="B20" s="19" t="s">
        <v>93</v>
      </c>
      <c r="C20" s="101">
        <v>4.3629165836990688E-3</v>
      </c>
      <c r="D20" s="101">
        <v>4.3629165836990688E-3</v>
      </c>
      <c r="E20" s="101">
        <v>4.3629165836990688E-3</v>
      </c>
      <c r="F20" s="101">
        <v>4.3629165836990688E-3</v>
      </c>
    </row>
    <row r="21" spans="1:8" ht="15.75" customHeight="1" x14ac:dyDescent="0.2">
      <c r="B21" s="19" t="s">
        <v>94</v>
      </c>
      <c r="C21" s="101">
        <v>0.1123279736464316</v>
      </c>
      <c r="D21" s="101">
        <v>0.1123279736464316</v>
      </c>
      <c r="E21" s="101">
        <v>0.1123279736464316</v>
      </c>
      <c r="F21" s="101">
        <v>0.1123279736464316</v>
      </c>
    </row>
    <row r="22" spans="1:8" ht="15.75" customHeight="1" x14ac:dyDescent="0.2">
      <c r="B22" s="19" t="s">
        <v>95</v>
      </c>
      <c r="C22" s="101">
        <v>0.59072831518630353</v>
      </c>
      <c r="D22" s="101">
        <v>0.59072831518630353</v>
      </c>
      <c r="E22" s="101">
        <v>0.59072831518630353</v>
      </c>
      <c r="F22" s="101">
        <v>0.59072831518630353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7.0890322000000006E-2</v>
      </c>
    </row>
    <row r="27" spans="1:8" ht="15.75" customHeight="1" x14ac:dyDescent="0.2">
      <c r="B27" s="19" t="s">
        <v>102</v>
      </c>
      <c r="C27" s="101">
        <v>6.3794211000000003E-2</v>
      </c>
    </row>
    <row r="28" spans="1:8" ht="15.75" customHeight="1" x14ac:dyDescent="0.2">
      <c r="B28" s="19" t="s">
        <v>103</v>
      </c>
      <c r="C28" s="101">
        <v>0.20576266900000001</v>
      </c>
    </row>
    <row r="29" spans="1:8" ht="15.75" customHeight="1" x14ac:dyDescent="0.2">
      <c r="B29" s="19" t="s">
        <v>104</v>
      </c>
      <c r="C29" s="101">
        <v>0.158973905</v>
      </c>
    </row>
    <row r="30" spans="1:8" ht="15.75" customHeight="1" x14ac:dyDescent="0.2">
      <c r="B30" s="19" t="s">
        <v>2</v>
      </c>
      <c r="C30" s="101">
        <v>0.14980645400000001</v>
      </c>
    </row>
    <row r="31" spans="1:8" ht="15.75" customHeight="1" x14ac:dyDescent="0.2">
      <c r="B31" s="19" t="s">
        <v>105</v>
      </c>
      <c r="C31" s="101">
        <v>5.9616164999999999E-2</v>
      </c>
    </row>
    <row r="32" spans="1:8" ht="15.75" customHeight="1" x14ac:dyDescent="0.2">
      <c r="B32" s="19" t="s">
        <v>106</v>
      </c>
      <c r="C32" s="101">
        <v>9.6391635000000003E-2</v>
      </c>
    </row>
    <row r="33" spans="2:3" ht="15.75" customHeight="1" x14ac:dyDescent="0.2">
      <c r="B33" s="19" t="s">
        <v>107</v>
      </c>
      <c r="C33" s="101">
        <v>0.10287004700000001</v>
      </c>
    </row>
    <row r="34" spans="2:3" ht="15.75" customHeight="1" x14ac:dyDescent="0.2">
      <c r="B34" s="19" t="s">
        <v>108</v>
      </c>
      <c r="C34" s="101">
        <v>9.1894592999999997E-2</v>
      </c>
    </row>
    <row r="35" spans="2:3" ht="15.75" customHeight="1" x14ac:dyDescent="0.2">
      <c r="B35" s="27" t="s">
        <v>41</v>
      </c>
      <c r="C35" s="48">
        <f>SUM(C26:C34)</f>
        <v>1.0000000010000001</v>
      </c>
    </row>
  </sheetData>
  <sheetProtection algorithmName="SHA-512" hashValue="LnC4GskNEYEDZc6U/877vhcuomti2OmPPUkAwBLUZtO8JvQJofQsiAOXo2dAiyugnTDah0W6jYzMAvd8cvcmYw==" saltValue="XNqruPSv5qCH+LF2kwl8a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0.58437563457141883</v>
      </c>
      <c r="D2" s="52">
        <f>IFERROR(1-_xlfn.NORM.DIST(_xlfn.NORM.INV(SUM(D4:D5), 0, 1) + 1, 0, 1, TRUE), "")</f>
        <v>0.58457492048436066</v>
      </c>
      <c r="E2" s="52">
        <f>IFERROR(1-_xlfn.NORM.DIST(_xlfn.NORM.INV(SUM(E4:E5), 0, 1) + 1, 0, 1, TRUE), "")</f>
        <v>0.58246549792395419</v>
      </c>
      <c r="F2" s="52">
        <f>IFERROR(1-_xlfn.NORM.DIST(_xlfn.NORM.INV(SUM(F4:F5), 0, 1) + 1, 0, 1, TRUE), "")</f>
        <v>0.50092793318511419</v>
      </c>
      <c r="G2" s="52">
        <f>IFERROR(1-_xlfn.NORM.DIST(_xlfn.NORM.INV(SUM(G4:G5), 0, 1) + 1, 0, 1, TRUE), "")</f>
        <v>0.51589053854357536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0.30307862771519101</v>
      </c>
      <c r="D3" s="52">
        <f>IFERROR(_xlfn.NORM.DIST(_xlfn.NORM.INV(SUM(D4:D5), 0, 1) + 1, 0, 1, TRUE) - SUM(D4:D5), "")</f>
        <v>0.30297699132207184</v>
      </c>
      <c r="E3" s="52">
        <f>IFERROR(_xlfn.NORM.DIST(_xlfn.NORM.INV(SUM(E4:E5), 0, 1) + 1, 0, 1, TRUE) - SUM(E4:E5), "")</f>
        <v>0.30405026808033742</v>
      </c>
      <c r="F3" s="52">
        <f>IFERROR(_xlfn.NORM.DIST(_xlfn.NORM.INV(SUM(F4:F5), 0, 1) + 1, 0, 1, TRUE) - SUM(F4:F5), "")</f>
        <v>0.34097897876232264</v>
      </c>
      <c r="G3" s="52">
        <f>IFERROR(_xlfn.NORM.DIST(_xlfn.NORM.INV(SUM(G4:G5), 0, 1) + 1, 0, 1, TRUE) - SUM(G4:G5), "")</f>
        <v>0.33490285435371436</v>
      </c>
    </row>
    <row r="4" spans="1:15" ht="15.75" customHeight="1" x14ac:dyDescent="0.2">
      <c r="B4" s="5" t="s">
        <v>114</v>
      </c>
      <c r="C4" s="45">
        <v>6.8506343215358007E-2</v>
      </c>
      <c r="D4" s="53">
        <v>6.8506343215358007E-2</v>
      </c>
      <c r="E4" s="53">
        <v>6.0878984057916898E-2</v>
      </c>
      <c r="F4" s="53">
        <v>9.30039194557684E-2</v>
      </c>
      <c r="G4" s="53">
        <v>9.5245285743845595E-2</v>
      </c>
    </row>
    <row r="5" spans="1:15" ht="15.75" customHeight="1" x14ac:dyDescent="0.2">
      <c r="B5" s="5" t="s">
        <v>115</v>
      </c>
      <c r="C5" s="45">
        <v>4.4039394498032201E-2</v>
      </c>
      <c r="D5" s="53">
        <v>4.3941744978209497E-2</v>
      </c>
      <c r="E5" s="53">
        <v>5.2605249937791497E-2</v>
      </c>
      <c r="F5" s="53">
        <v>6.5089168596794797E-2</v>
      </c>
      <c r="G5" s="53">
        <v>5.3961321358864688E-2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0.57831498063356757</v>
      </c>
      <c r="D8" s="52">
        <f>IFERROR(1-_xlfn.NORM.DIST(_xlfn.NORM.INV(SUM(D10:D11), 0, 1) + 1, 0, 1, TRUE), "")</f>
        <v>0.57831498063356757</v>
      </c>
      <c r="E8" s="52">
        <f>IFERROR(1-_xlfn.NORM.DIST(_xlfn.NORM.INV(SUM(E10:E11), 0, 1) + 1, 0, 1, TRUE), "")</f>
        <v>0.7072874761722443</v>
      </c>
      <c r="F8" s="52">
        <f>IFERROR(1-_xlfn.NORM.DIST(_xlfn.NORM.INV(SUM(F10:F11), 0, 1) + 1, 0, 1, TRUE), "")</f>
        <v>0.79100277724113255</v>
      </c>
      <c r="G8" s="52">
        <f>IFERROR(1-_xlfn.NORM.DIST(_xlfn.NORM.INV(SUM(G10:G11), 0, 1) + 1, 0, 1, TRUE), "")</f>
        <v>0.80908093685773375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0.30614564363728841</v>
      </c>
      <c r="D9" s="52">
        <f>IFERROR(_xlfn.NORM.DIST(_xlfn.NORM.INV(SUM(D10:D11), 0, 1) + 1, 0, 1, TRUE) - SUM(D10:D11), "")</f>
        <v>0.30614564363728841</v>
      </c>
      <c r="E9" s="52">
        <f>IFERROR(_xlfn.NORM.DIST(_xlfn.NORM.INV(SUM(E10:E11), 0, 1) + 1, 0, 1, TRUE) - SUM(E10:E11), "")</f>
        <v>0.23159713845068106</v>
      </c>
      <c r="F9" s="52">
        <f>IFERROR(_xlfn.NORM.DIST(_xlfn.NORM.INV(SUM(F10:F11), 0, 1) + 1, 0, 1, TRUE) - SUM(F10:F11), "")</f>
        <v>0.17384200729234547</v>
      </c>
      <c r="G9" s="52">
        <f>IFERROR(_xlfn.NORM.DIST(_xlfn.NORM.INV(SUM(G10:G11), 0, 1) + 1, 0, 1, TRUE) - SUM(G10:G11), "")</f>
        <v>0.16048929055437519</v>
      </c>
    </row>
    <row r="10" spans="1:15" ht="15.75" customHeight="1" x14ac:dyDescent="0.2">
      <c r="B10" s="5" t="s">
        <v>119</v>
      </c>
      <c r="C10" s="45">
        <v>7.0007490607840603E-2</v>
      </c>
      <c r="D10" s="53">
        <v>7.0007490607840603E-2</v>
      </c>
      <c r="E10" s="53">
        <v>4.0488959954615197E-2</v>
      </c>
      <c r="F10" s="53">
        <v>2.16110665718461E-2</v>
      </c>
      <c r="G10" s="53">
        <v>1.8143644083632001E-2</v>
      </c>
    </row>
    <row r="11" spans="1:15" ht="15.75" customHeight="1" x14ac:dyDescent="0.2">
      <c r="B11" s="5" t="s">
        <v>120</v>
      </c>
      <c r="C11" s="45">
        <v>4.5531885121303413E-2</v>
      </c>
      <c r="D11" s="53">
        <v>4.5531885121303413E-2</v>
      </c>
      <c r="E11" s="53">
        <v>2.0626425422459502E-2</v>
      </c>
      <c r="F11" s="53">
        <v>1.35441488946759E-2</v>
      </c>
      <c r="G11" s="53">
        <v>1.22861285042591E-2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0.36588747924999998</v>
      </c>
      <c r="D14" s="54">
        <v>0.367404292656</v>
      </c>
      <c r="E14" s="54">
        <v>0.367404292656</v>
      </c>
      <c r="F14" s="54">
        <v>0.16958749963200001</v>
      </c>
      <c r="G14" s="54">
        <v>0.16958749963200001</v>
      </c>
      <c r="H14" s="45">
        <v>0.28000000000000003</v>
      </c>
      <c r="I14" s="55">
        <v>0.28000000000000003</v>
      </c>
      <c r="J14" s="55">
        <v>0.28000000000000003</v>
      </c>
      <c r="K14" s="55">
        <v>0.28000000000000003</v>
      </c>
      <c r="L14" s="45">
        <v>0.26400000000000001</v>
      </c>
      <c r="M14" s="55">
        <v>0.26400000000000001</v>
      </c>
      <c r="N14" s="55">
        <v>0.26400000000000001</v>
      </c>
      <c r="O14" s="55">
        <v>0.26400000000000001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0.23276041758732521</v>
      </c>
      <c r="D15" s="52">
        <f t="shared" si="0"/>
        <v>0.23372534298599235</v>
      </c>
      <c r="E15" s="52">
        <f t="shared" si="0"/>
        <v>0.23372534298599235</v>
      </c>
      <c r="F15" s="52">
        <f t="shared" si="0"/>
        <v>0.1078835966533957</v>
      </c>
      <c r="G15" s="52">
        <f t="shared" si="0"/>
        <v>0.1078835966533957</v>
      </c>
      <c r="H15" s="52">
        <f t="shared" si="0"/>
        <v>0.17812284</v>
      </c>
      <c r="I15" s="52">
        <f t="shared" si="0"/>
        <v>0.17812284</v>
      </c>
      <c r="J15" s="52">
        <f t="shared" si="0"/>
        <v>0.17812284</v>
      </c>
      <c r="K15" s="52">
        <f t="shared" si="0"/>
        <v>0.17812284</v>
      </c>
      <c r="L15" s="52">
        <f t="shared" si="0"/>
        <v>0.167944392</v>
      </c>
      <c r="M15" s="52">
        <f t="shared" si="0"/>
        <v>0.167944392</v>
      </c>
      <c r="N15" s="52">
        <f t="shared" si="0"/>
        <v>0.167944392</v>
      </c>
      <c r="O15" s="52">
        <f t="shared" si="0"/>
        <v>0.167944392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wqztJoxntuyEpWWd3mp2ExRV6NGU5S7rMDrn2M6lTUroWn7gUPyFYv5R1laFC2tdTlnjr0D4QvQWSp/ldj1VPQ==" saltValue="Qr5jOjk+xciFIsopVBXch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0.43501501852123098</v>
      </c>
      <c r="D2" s="53">
        <v>0.23498266272916701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0.2763713716074</v>
      </c>
      <c r="D3" s="53">
        <v>0.288356971458333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0.208402150173296</v>
      </c>
      <c r="D4" s="53">
        <v>0.32155992791666699</v>
      </c>
      <c r="E4" s="53">
        <v>0.67901725684710901</v>
      </c>
      <c r="F4" s="53">
        <v>0.33638759210421898</v>
      </c>
      <c r="G4" s="53">
        <v>0</v>
      </c>
    </row>
    <row r="5" spans="1:7" x14ac:dyDescent="0.2">
      <c r="B5" s="3" t="s">
        <v>132</v>
      </c>
      <c r="C5" s="52">
        <v>8.0177836077641909E-2</v>
      </c>
      <c r="D5" s="52">
        <v>0.15519734193479201</v>
      </c>
      <c r="E5" s="52">
        <f>1-SUM(E2:E4)</f>
        <v>0.32098274315289099</v>
      </c>
      <c r="F5" s="52">
        <f>1-SUM(F2:F4)</f>
        <v>0.66361240789578102</v>
      </c>
      <c r="G5" s="52">
        <f>1-SUM(G2:G4)</f>
        <v>1</v>
      </c>
    </row>
  </sheetData>
  <sheetProtection algorithmName="SHA-512" hashValue="fS3K/PjWe+U3aKV0TcpfKYGL2croSTHhXs/Qw2uw9WDLAQ73LpyvRkScFYjKIVwdDrH+GskpeYSrF4IkSrF39g==" saltValue="IgWi78GZ2Q6lbwvTt6V0n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MLEJ+ZR2bqusV8dsu0gQdmfNTf9a497Z+05I9kqWoRQFyQRes3riMbk8DOL1L0dzEKaikyWTcv/7tvUBHs6NKQ==" saltValue="2OMYE/Kgqhd7+zn6qel/i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sZA8VoaIzyQMDM2/3O91UH4VCwYSO7hIN12pge3bftsTl5pr9tcLaN3ZdlB4u5xoZ0ZL0J9NyahHEu2ilU36xw==" saltValue="waYb/0k1h6t6ZMNZTOwAM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Nd76O96jtJSLiNfu/JxqFTx76W3ragXP6c3zLbdGIrtvVZCP7PII/uRvZ79aGqvr7xrzeV6M1w43qiVQrikrEw==" saltValue="z5NbW1t1lcZcyCrYkNCYP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1X7PtoKP5yWuS/cklsAakbupNRTIGuyd9Rg1lyksaCtpjUezm+Ns50IezAyeOAgilyd6KkFkRhjmrdmg7sdM5w==" saltValue="Uzh+Si231i+Ugf/J6XILH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2023-01-25T12:10:29Z</dcterms:modified>
</cp:coreProperties>
</file>