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639C696E-FE88-4217-A3E8-FCBB05952356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G39" i="2"/>
  <c r="I39" i="2" s="1"/>
  <c r="H38" i="2"/>
  <c r="G38" i="2"/>
  <c r="I11" i="2"/>
  <c r="H11" i="2"/>
  <c r="G11" i="2"/>
  <c r="H10" i="2"/>
  <c r="G10" i="2"/>
  <c r="H9" i="2"/>
  <c r="I9" i="2" s="1"/>
  <c r="G9" i="2"/>
  <c r="H8" i="2"/>
  <c r="G8" i="2"/>
  <c r="I8" i="2" s="1"/>
  <c r="H7" i="2"/>
  <c r="I7" i="2" s="1"/>
  <c r="G7" i="2"/>
  <c r="H6" i="2"/>
  <c r="G6" i="2"/>
  <c r="H5" i="2"/>
  <c r="I5" i="2" s="1"/>
  <c r="G5" i="2"/>
  <c r="H4" i="2"/>
  <c r="G4" i="2"/>
  <c r="H3" i="2"/>
  <c r="I3" i="2" s="1"/>
  <c r="G3" i="2"/>
  <c r="H2" i="2"/>
  <c r="G2" i="2"/>
  <c r="I2" i="2" s="1"/>
  <c r="A2" i="2"/>
  <c r="A28" i="2" s="1"/>
  <c r="C33" i="1"/>
  <c r="C20" i="1"/>
  <c r="I10" i="2" l="1"/>
  <c r="I4" i="2"/>
  <c r="I38" i="2"/>
  <c r="I6" i="2"/>
  <c r="A13" i="2"/>
  <c r="A15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17" i="2"/>
  <c r="A25" i="2"/>
  <c r="A33" i="2"/>
  <c r="A12" i="2"/>
  <c r="A20" i="2"/>
  <c r="A36" i="2"/>
  <c r="A23" i="2"/>
  <c r="A31" i="2"/>
  <c r="A18" i="2"/>
  <c r="A26" i="2"/>
  <c r="A34" i="2"/>
  <c r="A39" i="2"/>
  <c r="A19" i="2"/>
  <c r="A27" i="2"/>
  <c r="A35" i="2"/>
  <c r="A21" i="2"/>
  <c r="A37" i="2"/>
  <c r="D58" i="20"/>
  <c r="A29" i="2"/>
  <c r="A14" i="2"/>
  <c r="A22" i="2"/>
  <c r="A30" i="2"/>
  <c r="A38" i="2"/>
  <c r="A4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<sst xmlns="http://schemas.openxmlformats.org/spreadsheetml/2006/main" count="2092" uniqueCount="337">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</sst>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738602.6171875</v>
      </c>
    </row>
    <row r="8" spans="1:3" ht="15" customHeight="1" x14ac:dyDescent="0.2">
      <c r="B8" s="5" t="s">
        <v>19</v>
      </c>
      <c r="C8" s="44">
        <v>0.66299999999999992</v>
      </c>
    </row>
    <row r="9" spans="1:3" ht="15" customHeight="1" x14ac:dyDescent="0.2">
      <c r="B9" s="5" t="s">
        <v>20</v>
      </c>
      <c r="C9" s="45">
        <v>0.99900000000000011</v>
      </c>
    </row>
    <row r="10" spans="1:3" ht="15" customHeight="1" x14ac:dyDescent="0.2">
      <c r="B10" s="5" t="s">
        <v>21</v>
      </c>
      <c r="C10" s="45">
        <v>9.845620155334471E-2</v>
      </c>
    </row>
    <row r="11" spans="1:3" ht="15" customHeight="1" x14ac:dyDescent="0.2">
      <c r="B11" s="5" t="s">
        <v>22</v>
      </c>
      <c r="C11" s="45">
        <v>0.38100000000000001</v>
      </c>
    </row>
    <row r="12" spans="1:3" ht="15" customHeight="1" x14ac:dyDescent="0.2">
      <c r="B12" s="5" t="s">
        <v>23</v>
      </c>
      <c r="C12" s="45">
        <v>0.29799999999999999</v>
      </c>
    </row>
    <row r="13" spans="1:3" ht="15" customHeight="1" x14ac:dyDescent="0.2">
      <c r="B13" s="5" t="s">
        <v>24</v>
      </c>
      <c r="C13" s="45">
        <v>0.71299999999999997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0.10979999999999999</v>
      </c>
    </row>
    <row r="24" spans="1:3" ht="15" customHeight="1" x14ac:dyDescent="0.2">
      <c r="B24" s="15" t="s">
        <v>33</v>
      </c>
      <c r="C24" s="45">
        <v>0.4572</v>
      </c>
    </row>
    <row r="25" spans="1:3" ht="15" customHeight="1" x14ac:dyDescent="0.2">
      <c r="B25" s="15" t="s">
        <v>34</v>
      </c>
      <c r="C25" s="45">
        <v>0.30830000000000002</v>
      </c>
    </row>
    <row r="26" spans="1:3" ht="15" customHeight="1" x14ac:dyDescent="0.2">
      <c r="B26" s="15" t="s">
        <v>35</v>
      </c>
      <c r="C26" s="45">
        <v>0.12470000000000001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0.218364915102184</v>
      </c>
    </row>
    <row r="30" spans="1:3" ht="14.25" customHeight="1" x14ac:dyDescent="0.2">
      <c r="B30" s="25" t="s">
        <v>38</v>
      </c>
      <c r="C30" s="99">
        <v>7.7568108690775697E-2</v>
      </c>
    </row>
    <row r="31" spans="1:3" ht="14.25" customHeight="1" x14ac:dyDescent="0.2">
      <c r="B31" s="25" t="s">
        <v>39</v>
      </c>
      <c r="C31" s="99">
        <v>0.123399588801234</v>
      </c>
    </row>
    <row r="32" spans="1:3" ht="14.25" customHeight="1" x14ac:dyDescent="0.2">
      <c r="B32" s="25" t="s">
        <v>40</v>
      </c>
      <c r="C32" s="99">
        <v>0.58066738740580703</v>
      </c>
    </row>
    <row r="33" spans="1:5" ht="13.15" customHeight="1" x14ac:dyDescent="0.2">
      <c r="B33" s="27" t="s">
        <v>41</v>
      </c>
      <c r="C33" s="48">
        <f>SUM(C29:C32)</f>
        <v>1.0000000000000009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39.734918925465799</v>
      </c>
    </row>
    <row r="38" spans="1:5" ht="15" customHeight="1" x14ac:dyDescent="0.2">
      <c r="B38" s="11" t="s">
        <v>45</v>
      </c>
      <c r="C38" s="43">
        <v>81.003217021782802</v>
      </c>
      <c r="D38" s="12"/>
      <c r="E38" s="13"/>
    </row>
    <row r="39" spans="1:5" ht="15" customHeight="1" x14ac:dyDescent="0.2">
      <c r="B39" s="11" t="s">
        <v>46</v>
      </c>
      <c r="C39" s="43">
        <v>110.05391226640999</v>
      </c>
      <c r="D39" s="12"/>
      <c r="E39" s="12"/>
    </row>
    <row r="40" spans="1:5" ht="15" customHeight="1" x14ac:dyDescent="0.2">
      <c r="B40" s="11" t="s">
        <v>47</v>
      </c>
      <c r="C40" s="100">
        <v>8.2899999999999991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29.833033879999999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2.0202700000000001E-2</v>
      </c>
      <c r="D45" s="12"/>
    </row>
    <row r="46" spans="1:5" ht="15.75" customHeight="1" x14ac:dyDescent="0.2">
      <c r="B46" s="11" t="s">
        <v>52</v>
      </c>
      <c r="C46" s="45">
        <v>0.1055837</v>
      </c>
      <c r="D46" s="12"/>
    </row>
    <row r="47" spans="1:5" ht="15.75" customHeight="1" x14ac:dyDescent="0.2">
      <c r="B47" s="11" t="s">
        <v>53</v>
      </c>
      <c r="C47" s="45">
        <v>0.2499826</v>
      </c>
      <c r="D47" s="12"/>
      <c r="E47" s="13"/>
    </row>
    <row r="48" spans="1:5" ht="15" customHeight="1" x14ac:dyDescent="0.2">
      <c r="B48" s="11" t="s">
        <v>54</v>
      </c>
      <c r="C48" s="46">
        <v>0.62423099999999998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3.3</v>
      </c>
      <c r="D51" s="12"/>
    </row>
    <row r="52" spans="1:4" ht="15" customHeight="1" x14ac:dyDescent="0.2">
      <c r="B52" s="11" t="s">
        <v>57</v>
      </c>
      <c r="C52" s="100">
        <v>3.3</v>
      </c>
    </row>
    <row r="53" spans="1:4" ht="15.75" customHeight="1" x14ac:dyDescent="0.2">
      <c r="B53" s="11" t="s">
        <v>58</v>
      </c>
      <c r="C53" s="100">
        <v>3.3</v>
      </c>
    </row>
    <row r="54" spans="1:4" ht="15.75" customHeight="1" x14ac:dyDescent="0.2">
      <c r="B54" s="11" t="s">
        <v>59</v>
      </c>
      <c r="C54" s="100">
        <v>3.3</v>
      </c>
    </row>
    <row r="55" spans="1:4" ht="15.75" customHeight="1" x14ac:dyDescent="0.2">
      <c r="B55" s="11" t="s">
        <v>60</v>
      </c>
      <c r="C55" s="100">
        <v>3.3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2.181818181818182E-2</v>
      </c>
    </row>
    <row r="59" spans="1:4" ht="15.75" customHeight="1" x14ac:dyDescent="0.2">
      <c r="B59" s="11" t="s">
        <v>63</v>
      </c>
      <c r="C59" s="45">
        <v>0.44318700000000011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0.14536402000000001</v>
      </c>
    </row>
    <row r="63" spans="1:4" ht="15.75" customHeight="1" x14ac:dyDescent="0.2">
      <c r="A63" s="4"/>
    </row>
  </sheetData>
  <sheetProtection algorithmName="SHA-512" hashValue="J7lf60ymy/BKD/Sxfz1DGaQa+6B3g+Tc28HSF4KmNCJSDYuKgXIFLwyj7Zwh8aCQ/WS4M4A5BK7DG4wahLZoKA==" saltValue="1JW46JIu9h4Mi7Ew7jfWs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0.32109762152614602</v>
      </c>
      <c r="C2" s="98">
        <v>0.95</v>
      </c>
      <c r="D2" s="56">
        <v>34.034762035053411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54.620859337665578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38.221317431768732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0.1167246337508648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9.9500762775573598E-2</v>
      </c>
      <c r="C10" s="98">
        <v>0.95</v>
      </c>
      <c r="D10" s="56">
        <v>17.30460856515991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9.9500762775573598E-2</v>
      </c>
      <c r="C11" s="98">
        <v>0.95</v>
      </c>
      <c r="D11" s="56">
        <v>17.30460856515991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9.9500762775573598E-2</v>
      </c>
      <c r="C12" s="98">
        <v>0.95</v>
      </c>
      <c r="D12" s="56">
        <v>17.30460856515991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9.9500762775573598E-2</v>
      </c>
      <c r="C13" s="98">
        <v>0.95</v>
      </c>
      <c r="D13" s="56">
        <v>17.30460856515991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9.9500762775573598E-2</v>
      </c>
      <c r="C14" s="98">
        <v>0.95</v>
      </c>
      <c r="D14" s="56">
        <v>17.30460856515991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9.9500762775573598E-2</v>
      </c>
      <c r="C15" s="98">
        <v>0.95</v>
      </c>
      <c r="D15" s="56">
        <v>17.30460856515991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0.23067217612567081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0.59670394897460899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0.35</v>
      </c>
      <c r="C18" s="98">
        <v>0.95</v>
      </c>
      <c r="D18" s="56">
        <v>0.99436129525469097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0.99436129525469097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0.58332572939999994</v>
      </c>
      <c r="C21" s="98">
        <v>0.95</v>
      </c>
      <c r="D21" s="56">
        <v>1.066205212290068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29.45962320280529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5.6236363581689766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0.14745249455200299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7.7604379864273001E-2</v>
      </c>
      <c r="C27" s="98">
        <v>0.95</v>
      </c>
      <c r="D27" s="56">
        <v>25.024511947401859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0.25319670744926698</v>
      </c>
      <c r="C29" s="98">
        <v>0.95</v>
      </c>
      <c r="D29" s="56">
        <v>58.883846304768888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1.226522058081233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3.8962310600000002E-3</v>
      </c>
      <c r="C32" s="98">
        <v>0.95</v>
      </c>
      <c r="D32" s="56">
        <v>0.41624618403907598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0.46673053739999998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0.47219985959999999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</v>
      </c>
      <c r="C38" s="98">
        <v>0.95</v>
      </c>
      <c r="D38" s="56">
        <v>7.7139026016212213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0.18100107773409499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ch5rpgqpVQK8VZ059EuXcnmf9bxWmHDXDYj1hegSNqvNrkHoNu2CjXh83V8v6X3M/MxfyukMLWW56SMLj9uHHQ==" saltValue="YfPBtop2mBp8QC54KrYxY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tNgSHWLulZv1Hg4I6QadsbkxdcknH0+W+rrV3qWNzxm247D+PeImRNyXbjG65N8rynjEoA3GRAPcM2yg8zvMQw==" saltValue="MCHMe5vx2zSV953F0f2zg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F29kd9sI29aTQ4ajjoK4i7QIndzdt75F/QQzpmXwk/bWWInbXlPOBefap6bR3w/aED3Zepav1Bdyh/i0JMUNQw==" saltValue="d91qOID3VHffx0PHFATnn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">
      <c r="A3" s="3" t="s">
        <v>209</v>
      </c>
      <c r="B3" s="21">
        <f>frac_mam_1month * 2.6</f>
        <v>0.10848275880000001</v>
      </c>
      <c r="C3" s="21">
        <f>frac_mam_1_5months * 2.6</f>
        <v>0.10848275880000001</v>
      </c>
      <c r="D3" s="21">
        <f>frac_mam_6_11months * 2.6</f>
        <v>0.1852547242</v>
      </c>
      <c r="E3" s="21">
        <f>frac_mam_12_23months * 2.6</f>
        <v>0.13992891119999998</v>
      </c>
      <c r="F3" s="21">
        <f>frac_mam_24_59months * 2.6</f>
        <v>7.381936900000001E-2</v>
      </c>
    </row>
    <row r="4" spans="1:6" ht="15.75" customHeight="1" x14ac:dyDescent="0.2">
      <c r="A4" s="3" t="s">
        <v>208</v>
      </c>
      <c r="B4" s="21">
        <f>frac_sam_1month * 2.6</f>
        <v>8.2176876600000004E-2</v>
      </c>
      <c r="C4" s="21">
        <f>frac_sam_1_5months * 2.6</f>
        <v>8.2176876600000004E-2</v>
      </c>
      <c r="D4" s="21">
        <f>frac_sam_6_11months * 2.6</f>
        <v>4.8562316400000007E-2</v>
      </c>
      <c r="E4" s="21">
        <f>frac_sam_12_23months * 2.6</f>
        <v>5.4622895600000006E-2</v>
      </c>
      <c r="F4" s="21">
        <f>frac_sam_24_59months * 2.6</f>
        <v>2.61509716E-2</v>
      </c>
    </row>
  </sheetData>
  <sheetProtection algorithmName="SHA-512" hashValue="cFeF/r96ATPDs3nNjgnxR60Rre+vk1u5mRTtZwpJAzsO/jXdCwNbMjhAViwjc14Eq42kauYu51MrNhU6ZvVKGg==" saltValue="CfM3cKL5y9eZHB7hgi/9P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0.66299999999999992</v>
      </c>
      <c r="E2" s="60">
        <f>food_insecure</f>
        <v>0.66299999999999992</v>
      </c>
      <c r="F2" s="60">
        <f>food_insecure</f>
        <v>0.66299999999999992</v>
      </c>
      <c r="G2" s="60">
        <f>food_insecure</f>
        <v>0.66299999999999992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0.66299999999999992</v>
      </c>
      <c r="F5" s="60">
        <f>food_insecure</f>
        <v>0.66299999999999992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0.66299999999999992</v>
      </c>
      <c r="F8" s="60">
        <f>food_insecure</f>
        <v>0.66299999999999992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0.66299999999999992</v>
      </c>
      <c r="F9" s="60">
        <f>food_insecure</f>
        <v>0.66299999999999992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0.29799999999999999</v>
      </c>
      <c r="E10" s="60">
        <f>IF(ISBLANK(comm_deliv), frac_children_health_facility,1)</f>
        <v>0.29799999999999999</v>
      </c>
      <c r="F10" s="60">
        <f>IF(ISBLANK(comm_deliv), frac_children_health_facility,1)</f>
        <v>0.29799999999999999</v>
      </c>
      <c r="G10" s="60">
        <f>IF(ISBLANK(comm_deliv), frac_children_health_facility,1)</f>
        <v>0.29799999999999999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0.66299999999999992</v>
      </c>
      <c r="I15" s="60">
        <f>food_insecure</f>
        <v>0.66299999999999992</v>
      </c>
      <c r="J15" s="60">
        <f>food_insecure</f>
        <v>0.66299999999999992</v>
      </c>
      <c r="K15" s="60">
        <f>food_insecure</f>
        <v>0.66299999999999992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0.38100000000000001</v>
      </c>
      <c r="I18" s="60">
        <f>frac_PW_health_facility</f>
        <v>0.38100000000000001</v>
      </c>
      <c r="J18" s="60">
        <f>frac_PW_health_facility</f>
        <v>0.38100000000000001</v>
      </c>
      <c r="K18" s="60">
        <f>frac_PW_health_facility</f>
        <v>0.38100000000000001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0.99900000000000011</v>
      </c>
      <c r="I19" s="60">
        <f>frac_malaria_risk</f>
        <v>0.99900000000000011</v>
      </c>
      <c r="J19" s="60">
        <f>frac_malaria_risk</f>
        <v>0.99900000000000011</v>
      </c>
      <c r="K19" s="60">
        <f>frac_malaria_risk</f>
        <v>0.99900000000000011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0.71299999999999997</v>
      </c>
      <c r="M24" s="60">
        <f>famplan_unmet_need</f>
        <v>0.71299999999999997</v>
      </c>
      <c r="N24" s="60">
        <f>famplan_unmet_need</f>
        <v>0.71299999999999997</v>
      </c>
      <c r="O24" s="60">
        <f>famplan_unmet_need</f>
        <v>0.71299999999999997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0.56727840429658882</v>
      </c>
      <c r="M25" s="60">
        <f>(1-food_insecure)*(0.49)+food_insecure*(0.7)</f>
        <v>0.62922999999999996</v>
      </c>
      <c r="N25" s="60">
        <f>(1-food_insecure)*(0.49)+food_insecure*(0.7)</f>
        <v>0.62922999999999996</v>
      </c>
      <c r="O25" s="60">
        <f>(1-food_insecure)*(0.49)+food_insecure*(0.7)</f>
        <v>0.62922999999999996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0.24311931612710952</v>
      </c>
      <c r="M26" s="60">
        <f>(1-food_insecure)*(0.21)+food_insecure*(0.3)</f>
        <v>0.26966999999999997</v>
      </c>
      <c r="N26" s="60">
        <f>(1-food_insecure)*(0.21)+food_insecure*(0.3)</f>
        <v>0.26966999999999997</v>
      </c>
      <c r="O26" s="60">
        <f>(1-food_insecure)*(0.21)+food_insecure*(0.3)</f>
        <v>0.26966999999999997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9.1146078022956878E-2</v>
      </c>
      <c r="M27" s="60">
        <f>(1-food_insecure)*(0.3)</f>
        <v>0.10110000000000002</v>
      </c>
      <c r="N27" s="60">
        <f>(1-food_insecure)*(0.3)</f>
        <v>0.10110000000000002</v>
      </c>
      <c r="O27" s="60">
        <f>(1-food_insecure)*(0.3)</f>
        <v>0.10110000000000002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9.8456201553344724E-2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0.99900000000000011</v>
      </c>
      <c r="D34" s="60">
        <f t="shared" si="3"/>
        <v>0.99900000000000011</v>
      </c>
      <c r="E34" s="60">
        <f t="shared" si="3"/>
        <v>0.99900000000000011</v>
      </c>
      <c r="F34" s="60">
        <f t="shared" si="3"/>
        <v>0.99900000000000011</v>
      </c>
      <c r="G34" s="60">
        <f t="shared" si="3"/>
        <v>0.99900000000000011</v>
      </c>
      <c r="H34" s="60">
        <f t="shared" si="3"/>
        <v>0.99900000000000011</v>
      </c>
      <c r="I34" s="60">
        <f t="shared" si="3"/>
        <v>0.99900000000000011</v>
      </c>
      <c r="J34" s="60">
        <f t="shared" si="3"/>
        <v>0.99900000000000011</v>
      </c>
      <c r="K34" s="60">
        <f t="shared" si="3"/>
        <v>0.99900000000000011</v>
      </c>
      <c r="L34" s="60">
        <f t="shared" si="3"/>
        <v>0.99900000000000011</v>
      </c>
      <c r="M34" s="60">
        <f t="shared" si="3"/>
        <v>0.99900000000000011</v>
      </c>
      <c r="N34" s="60">
        <f t="shared" si="3"/>
        <v>0.99900000000000011</v>
      </c>
      <c r="O34" s="60">
        <f t="shared" si="3"/>
        <v>0.99900000000000011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FYTMJVMetl5xaNiPaXcfkC16Pg0/rNapRNbdXCuyktYX/nO0DCZWdMWN+9OL7kc0rgrLwkZS+i6QKTcFWW/sZg==" saltValue="3hfW0zsESMX5yWvNe9IoB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GSajqUoUC7N2yGFRzDbcwKq3+p4f6z/WCsqBHx/9qYA2URvjp/pMKCA6ekNDcHwStU5kwOk7LgP2pT2xexlMgQ==" saltValue="LYjJIn4SXQnK1KsRzG5aD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DB4pVOtwRbt4IYTuuziBB8LFO5v2URD0vceNpPqpvIoVKb8u2hwt0t+rhxgKME2gh5Kqw6UKABPqN7yuzCFdpA==" saltValue="wj31ibepG6INBlKJIkEqk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VR4lOoSFlNQc+BqagAhix7K/5jrPDG4THBNAF8c2TTV9x6v8Pm6enFY51SaGS+klkyEU3qpBhZ5kjzyKXAy4ig==" saltValue="JrBrR45dB3fDOGtI1re5x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EZMf5doEoAcUb72SdpoClxRr3wib+CR43Q2LY8LJuPUEmBVFX2glPhmri+tV+N4+ETzVEjU3U3ikHhp2qHHIuQ==" saltValue="v68Zu0iJzBUs7V8AbV2ME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YPD6Y3xwbV4qLs7mEME4zzIMyl5javLwfWf7h8D2SlRCSkvHnKL++dF1a6f4CBard+5afevkLniLr2AK6Ea04Q==" saltValue="1rRWjCHA0I6JFfF7jKYy0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172641.51459999999</v>
      </c>
      <c r="C2" s="49">
        <v>299000</v>
      </c>
      <c r="D2" s="49">
        <v>449000</v>
      </c>
      <c r="E2" s="49">
        <v>283000</v>
      </c>
      <c r="F2" s="49">
        <v>188000</v>
      </c>
      <c r="G2" s="17">
        <f t="shared" ref="G2:G11" si="0">C2+D2+E2+F2</f>
        <v>1219000</v>
      </c>
      <c r="H2" s="17">
        <f t="shared" ref="H2:H11" si="1">(B2 + stillbirth*B2/(1000-stillbirth))/(1-abortion)</f>
        <v>202216.26397235613</v>
      </c>
      <c r="I2" s="17">
        <f t="shared" ref="I2:I11" si="2">G2-H2</f>
        <v>1016783.7360276439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175470.2648</v>
      </c>
      <c r="C3" s="50">
        <v>305000</v>
      </c>
      <c r="D3" s="50">
        <v>467000</v>
      </c>
      <c r="E3" s="50">
        <v>292000</v>
      </c>
      <c r="F3" s="50">
        <v>194000</v>
      </c>
      <c r="G3" s="17">
        <f t="shared" si="0"/>
        <v>1258000</v>
      </c>
      <c r="H3" s="17">
        <f t="shared" si="1"/>
        <v>205529.59969279621</v>
      </c>
      <c r="I3" s="17">
        <f t="shared" si="2"/>
        <v>1052470.4003072039</v>
      </c>
    </row>
    <row r="4" spans="1:9" ht="15.75" customHeight="1" x14ac:dyDescent="0.2">
      <c r="A4" s="5">
        <f t="shared" si="3"/>
        <v>2023</v>
      </c>
      <c r="B4" s="49">
        <v>178498.12479999999</v>
      </c>
      <c r="C4" s="50">
        <v>310000</v>
      </c>
      <c r="D4" s="50">
        <v>486000</v>
      </c>
      <c r="E4" s="50">
        <v>301000</v>
      </c>
      <c r="F4" s="50">
        <v>200000</v>
      </c>
      <c r="G4" s="17">
        <f t="shared" si="0"/>
        <v>1297000</v>
      </c>
      <c r="H4" s="17">
        <f t="shared" si="1"/>
        <v>209076.15417275403</v>
      </c>
      <c r="I4" s="17">
        <f t="shared" si="2"/>
        <v>1087923.8458272461</v>
      </c>
    </row>
    <row r="5" spans="1:9" ht="15.75" customHeight="1" x14ac:dyDescent="0.2">
      <c r="A5" s="5">
        <f t="shared" si="3"/>
        <v>2024</v>
      </c>
      <c r="B5" s="49">
        <v>181586.0045999999</v>
      </c>
      <c r="C5" s="50">
        <v>314000</v>
      </c>
      <c r="D5" s="50">
        <v>505000</v>
      </c>
      <c r="E5" s="50">
        <v>311000</v>
      </c>
      <c r="F5" s="50">
        <v>207000</v>
      </c>
      <c r="G5" s="17">
        <f t="shared" si="0"/>
        <v>1337000</v>
      </c>
      <c r="H5" s="17">
        <f t="shared" si="1"/>
        <v>212693.01028177526</v>
      </c>
      <c r="I5" s="17">
        <f t="shared" si="2"/>
        <v>1124306.9897182249</v>
      </c>
    </row>
    <row r="6" spans="1:9" ht="15.75" customHeight="1" x14ac:dyDescent="0.2">
      <c r="A6" s="5">
        <f t="shared" si="3"/>
        <v>2025</v>
      </c>
      <c r="B6" s="49">
        <v>184732.29500000001</v>
      </c>
      <c r="C6" s="50">
        <v>319000</v>
      </c>
      <c r="D6" s="50">
        <v>523000</v>
      </c>
      <c r="E6" s="50">
        <v>324000</v>
      </c>
      <c r="F6" s="50">
        <v>213000</v>
      </c>
      <c r="G6" s="17">
        <f t="shared" si="0"/>
        <v>1379000</v>
      </c>
      <c r="H6" s="17">
        <f t="shared" si="1"/>
        <v>216378.28315217508</v>
      </c>
      <c r="I6" s="17">
        <f t="shared" si="2"/>
        <v>1162621.7168478249</v>
      </c>
    </row>
    <row r="7" spans="1:9" ht="15.75" customHeight="1" x14ac:dyDescent="0.2">
      <c r="A7" s="5">
        <f t="shared" si="3"/>
        <v>2026</v>
      </c>
      <c r="B7" s="49">
        <v>186966.78479999999</v>
      </c>
      <c r="C7" s="50">
        <v>323000</v>
      </c>
      <c r="D7" s="50">
        <v>538000</v>
      </c>
      <c r="E7" s="50">
        <v>336000</v>
      </c>
      <c r="F7" s="50">
        <v>221000</v>
      </c>
      <c r="G7" s="17">
        <f t="shared" si="0"/>
        <v>1418000</v>
      </c>
      <c r="H7" s="17">
        <f t="shared" si="1"/>
        <v>218995.55733612351</v>
      </c>
      <c r="I7" s="17">
        <f t="shared" si="2"/>
        <v>1199004.4426638766</v>
      </c>
    </row>
    <row r="8" spans="1:9" ht="15.75" customHeight="1" x14ac:dyDescent="0.2">
      <c r="A8" s="5">
        <f t="shared" si="3"/>
        <v>2027</v>
      </c>
      <c r="B8" s="49">
        <v>189148.5796</v>
      </c>
      <c r="C8" s="50">
        <v>326000</v>
      </c>
      <c r="D8" s="50">
        <v>552000</v>
      </c>
      <c r="E8" s="50">
        <v>351000</v>
      </c>
      <c r="F8" s="50">
        <v>227000</v>
      </c>
      <c r="G8" s="17">
        <f t="shared" si="0"/>
        <v>1456000</v>
      </c>
      <c r="H8" s="17">
        <f t="shared" si="1"/>
        <v>221551.1094826193</v>
      </c>
      <c r="I8" s="17">
        <f t="shared" si="2"/>
        <v>1234448.8905173808</v>
      </c>
    </row>
    <row r="9" spans="1:9" ht="15.75" customHeight="1" x14ac:dyDescent="0.2">
      <c r="A9" s="5">
        <f t="shared" si="3"/>
        <v>2028</v>
      </c>
      <c r="B9" s="49">
        <v>191276.64319999999</v>
      </c>
      <c r="C9" s="50">
        <v>330000</v>
      </c>
      <c r="D9" s="50">
        <v>566000</v>
      </c>
      <c r="E9" s="50">
        <v>367000</v>
      </c>
      <c r="F9" s="50">
        <v>235000</v>
      </c>
      <c r="G9" s="17">
        <f t="shared" si="0"/>
        <v>1498000</v>
      </c>
      <c r="H9" s="17">
        <f t="shared" si="1"/>
        <v>224043.72588305236</v>
      </c>
      <c r="I9" s="17">
        <f t="shared" si="2"/>
        <v>1273956.2741169475</v>
      </c>
    </row>
    <row r="10" spans="1:9" ht="15.75" customHeight="1" x14ac:dyDescent="0.2">
      <c r="A10" s="5">
        <f t="shared" si="3"/>
        <v>2029</v>
      </c>
      <c r="B10" s="49">
        <v>193414.48620000001</v>
      </c>
      <c r="C10" s="50">
        <v>334000</v>
      </c>
      <c r="D10" s="50">
        <v>580000</v>
      </c>
      <c r="E10" s="50">
        <v>384000</v>
      </c>
      <c r="F10" s="50">
        <v>242000</v>
      </c>
      <c r="G10" s="17">
        <f t="shared" si="0"/>
        <v>1540000</v>
      </c>
      <c r="H10" s="17">
        <f t="shared" si="1"/>
        <v>226547.79696596129</v>
      </c>
      <c r="I10" s="17">
        <f t="shared" si="2"/>
        <v>1313452.2030340387</v>
      </c>
    </row>
    <row r="11" spans="1:9" ht="15.75" customHeight="1" x14ac:dyDescent="0.2">
      <c r="A11" s="5">
        <f t="shared" si="3"/>
        <v>2030</v>
      </c>
      <c r="B11" s="49">
        <v>195527.07199999999</v>
      </c>
      <c r="C11" s="50">
        <v>337000</v>
      </c>
      <c r="D11" s="50">
        <v>592000</v>
      </c>
      <c r="E11" s="50">
        <v>401000</v>
      </c>
      <c r="F11" s="50">
        <v>250000</v>
      </c>
      <c r="G11" s="17">
        <f t="shared" si="0"/>
        <v>1580000</v>
      </c>
      <c r="H11" s="17">
        <f t="shared" si="1"/>
        <v>229022.28410647807</v>
      </c>
      <c r="I11" s="17">
        <f t="shared" si="2"/>
        <v>1350977.7158935219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q67eMTs3WlEn/kZUiVjEMCuPPsLS3Zc4uFfXFw6azwUG1R6PwMT3wxcjBFcSUuE/7BOTA+KJtNQQQha2bIz+ag==" saltValue="KEzw76kmlizw1CmocIpmKA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2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2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2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2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2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2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2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2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2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Viu2ZRYzfWaer3Anr21TNWLbZIm2aXINwui1J2pqXUc8tvrzOwnKVKDkbTesNhCXsDnymLqhMQj0GtZTvGLJjA==" saltValue="re7qys9vUHACyd7p3KiwsA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RulPPPoqFt7LG7MTHO1RTrvnOd0IKw77eeKBcCftZkaLMGpejyX0+b4TJGnp7xLTslOTzVSlb/nq50qY2YJmhw==" saltValue="Rv45HZjLsQ+RbXT4Xd+xp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Av1bMHOHzwvVZ7eu+YBadZmbtbaYuEdqH+yDe+aaafgRDsFkLEWIwcClFCO4P1rzkwPFT17/JiwrbEL7ODek2Q==" saltValue="ulkgbV/Ex4ruPa3MtS1k7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UiLhgcBcpCutmWO4sJoxts9l4BE+80259/2WkI2UgPDedeQa4C0nyVVUGXAy2GiTqJ6xXjgEb4Bag1oKs5p11w==" saltValue="f1KApcji1+BszffAa3zHO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XFUJLd/wwlYQimsOneigIxlJZ17ODGR1hQ3d3jNDea1t1nvutLCybS+Tv8DERRqBx8hnqkxftSwDPEgEsY7Frw==" saltValue="wnJ+j7UqBKbUAU/QzHZw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pJQEYqhjqfvMV7uVuORzijvprIPJHU+sns0ZuieWHZXfHVlbugZ8PzPknM6xgkKthQGKe7YcFqp+XMB/2C+BxA==" saltValue="g8/aaN1CB1eNjOtfv8nF/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8Fhz8Mlz0ojxorJIOYkIkVlQIXFQ+Zso/eTzovRed2nut87dcW+/SpjOvc+jMlAK6eF0CIgbgL1r/k2TlRhQ0Q==" saltValue="DBI26W+meSNNlZ/W4zKHK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jT12+/7PD2FYCdR9G98PblZvPze152az/0MEsoMktFs8kgWErALM68zKcPyXdOPUZQYIjZHCVXAicxFZ0AK8zA==" saltValue="URUhzZh5JFiRRYXeh2dvb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tdb9c7RygIMIg2gd6xD/Q564MFTASDrFrLqI9ArEq30k4JcyBT7ObOBndhnC4aXZho4yENZZ29M2HjsDk0bPOg==" saltValue="eOFevdaSFYUFcOMJJsbZ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9.2187999864551898E-3</v>
      </c>
    </row>
    <row r="4" spans="1:8" ht="15.75" customHeight="1" x14ac:dyDescent="0.2">
      <c r="B4" s="19" t="s">
        <v>79</v>
      </c>
      <c r="C4" s="101">
        <v>0.15512116525038569</v>
      </c>
    </row>
    <row r="5" spans="1:8" ht="15.75" customHeight="1" x14ac:dyDescent="0.2">
      <c r="B5" s="19" t="s">
        <v>80</v>
      </c>
      <c r="C5" s="101">
        <v>7.305319162171324E-2</v>
      </c>
    </row>
    <row r="6" spans="1:8" ht="15.75" customHeight="1" x14ac:dyDescent="0.2">
      <c r="B6" s="19" t="s">
        <v>81</v>
      </c>
      <c r="C6" s="101">
        <v>0.3024204826278003</v>
      </c>
    </row>
    <row r="7" spans="1:8" ht="15.75" customHeight="1" x14ac:dyDescent="0.2">
      <c r="B7" s="19" t="s">
        <v>82</v>
      </c>
      <c r="C7" s="101">
        <v>0.3045895632128986</v>
      </c>
    </row>
    <row r="8" spans="1:8" ht="15.75" customHeight="1" x14ac:dyDescent="0.2">
      <c r="B8" s="19" t="s">
        <v>83</v>
      </c>
      <c r="C8" s="101">
        <v>3.4776688210666457E-2</v>
      </c>
    </row>
    <row r="9" spans="1:8" ht="15.75" customHeight="1" x14ac:dyDescent="0.2">
      <c r="B9" s="19" t="s">
        <v>84</v>
      </c>
      <c r="C9" s="101">
        <v>5.465318979156266E-2</v>
      </c>
    </row>
    <row r="10" spans="1:8" ht="15.75" customHeight="1" x14ac:dyDescent="0.2">
      <c r="B10" s="19" t="s">
        <v>85</v>
      </c>
      <c r="C10" s="101">
        <v>6.6166919298517868E-2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5">
        <v>0.1385197599514478</v>
      </c>
      <c r="D14" s="55">
        <v>0.1385197599514478</v>
      </c>
      <c r="E14" s="55">
        <v>0.1385197599514478</v>
      </c>
      <c r="F14" s="55">
        <v>0.1385197599514478</v>
      </c>
    </row>
    <row r="15" spans="1:8" ht="15.75" customHeight="1" x14ac:dyDescent="0.2">
      <c r="B15" s="19" t="s">
        <v>88</v>
      </c>
      <c r="C15" s="101">
        <v>0.19890572896860051</v>
      </c>
      <c r="D15" s="101">
        <v>0.19890572896860051</v>
      </c>
      <c r="E15" s="101">
        <v>0.19890572896860051</v>
      </c>
      <c r="F15" s="101">
        <v>0.19890572896860051</v>
      </c>
    </row>
    <row r="16" spans="1:8" ht="15.75" customHeight="1" x14ac:dyDescent="0.2">
      <c r="B16" s="19" t="s">
        <v>89</v>
      </c>
      <c r="C16" s="101">
        <v>4.5049487602618579E-2</v>
      </c>
      <c r="D16" s="101">
        <v>4.5049487602618579E-2</v>
      </c>
      <c r="E16" s="101">
        <v>4.5049487602618579E-2</v>
      </c>
      <c r="F16" s="101">
        <v>4.5049487602618579E-2</v>
      </c>
    </row>
    <row r="17" spans="1:8" ht="15.75" customHeight="1" x14ac:dyDescent="0.2">
      <c r="B17" s="19" t="s">
        <v>90</v>
      </c>
      <c r="C17" s="101">
        <v>4.1903916543905802E-2</v>
      </c>
      <c r="D17" s="101">
        <v>4.1903916543905802E-2</v>
      </c>
      <c r="E17" s="101">
        <v>4.1903916543905802E-2</v>
      </c>
      <c r="F17" s="101">
        <v>4.1903916543905802E-2</v>
      </c>
    </row>
    <row r="18" spans="1:8" ht="15.75" customHeight="1" x14ac:dyDescent="0.2">
      <c r="B18" s="19" t="s">
        <v>91</v>
      </c>
      <c r="C18" s="101">
        <v>0.26716495745025559</v>
      </c>
      <c r="D18" s="101">
        <v>0.26716495745025559</v>
      </c>
      <c r="E18" s="101">
        <v>0.26716495745025559</v>
      </c>
      <c r="F18" s="101">
        <v>0.26716495745025559</v>
      </c>
    </row>
    <row r="19" spans="1:8" ht="15.75" customHeight="1" x14ac:dyDescent="0.2">
      <c r="B19" s="19" t="s">
        <v>92</v>
      </c>
      <c r="C19" s="101">
        <v>1.099603830576841E-2</v>
      </c>
      <c r="D19" s="101">
        <v>1.099603830576841E-2</v>
      </c>
      <c r="E19" s="101">
        <v>1.099603830576841E-2</v>
      </c>
      <c r="F19" s="101">
        <v>1.099603830576841E-2</v>
      </c>
    </row>
    <row r="20" spans="1:8" ht="15.75" customHeight="1" x14ac:dyDescent="0.2">
      <c r="B20" s="19" t="s">
        <v>93</v>
      </c>
      <c r="C20" s="101">
        <v>2.5382400973572479E-2</v>
      </c>
      <c r="D20" s="101">
        <v>2.5382400973572479E-2</v>
      </c>
      <c r="E20" s="101">
        <v>2.5382400973572479E-2</v>
      </c>
      <c r="F20" s="101">
        <v>2.5382400973572479E-2</v>
      </c>
    </row>
    <row r="21" spans="1:8" ht="15.75" customHeight="1" x14ac:dyDescent="0.2">
      <c r="B21" s="19" t="s">
        <v>94</v>
      </c>
      <c r="C21" s="101">
        <v>6.1781025668758302E-2</v>
      </c>
      <c r="D21" s="101">
        <v>6.1781025668758302E-2</v>
      </c>
      <c r="E21" s="101">
        <v>6.1781025668758302E-2</v>
      </c>
      <c r="F21" s="101">
        <v>6.1781025668758302E-2</v>
      </c>
    </row>
    <row r="22" spans="1:8" ht="15.75" customHeight="1" x14ac:dyDescent="0.2">
      <c r="B22" s="19" t="s">
        <v>95</v>
      </c>
      <c r="C22" s="101">
        <v>0.21029668453507261</v>
      </c>
      <c r="D22" s="101">
        <v>0.21029668453507261</v>
      </c>
      <c r="E22" s="101">
        <v>0.21029668453507261</v>
      </c>
      <c r="F22" s="101">
        <v>0.21029668453507261</v>
      </c>
    </row>
    <row r="23" spans="1:8" ht="15.75" customHeight="1" x14ac:dyDescent="0.2">
      <c r="B23" s="27" t="s">
        <v>41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8.640991000000002E-2</v>
      </c>
    </row>
    <row r="27" spans="1:8" ht="15.75" customHeight="1" x14ac:dyDescent="0.2">
      <c r="B27" s="19" t="s">
        <v>102</v>
      </c>
      <c r="C27" s="101">
        <v>8.5227879999999999E-3</v>
      </c>
    </row>
    <row r="28" spans="1:8" ht="15.75" customHeight="1" x14ac:dyDescent="0.2">
      <c r="B28" s="19" t="s">
        <v>103</v>
      </c>
      <c r="C28" s="101">
        <v>0.151297399</v>
      </c>
    </row>
    <row r="29" spans="1:8" ht="15.75" customHeight="1" x14ac:dyDescent="0.2">
      <c r="B29" s="19" t="s">
        <v>104</v>
      </c>
      <c r="C29" s="101">
        <v>0.16589246799999999</v>
      </c>
    </row>
    <row r="30" spans="1:8" ht="15.75" customHeight="1" x14ac:dyDescent="0.2">
      <c r="B30" s="19" t="s">
        <v>2</v>
      </c>
      <c r="C30" s="101">
        <v>0.10344083900000001</v>
      </c>
    </row>
    <row r="31" spans="1:8" ht="15.75" customHeight="1" x14ac:dyDescent="0.2">
      <c r="B31" s="19" t="s">
        <v>105</v>
      </c>
      <c r="C31" s="101">
        <v>0.10754699400000001</v>
      </c>
    </row>
    <row r="32" spans="1:8" ht="15.75" customHeight="1" x14ac:dyDescent="0.2">
      <c r="B32" s="19" t="s">
        <v>106</v>
      </c>
      <c r="C32" s="101">
        <v>1.8445415E-2</v>
      </c>
    </row>
    <row r="33" spans="2:3" ht="15.75" customHeight="1" x14ac:dyDescent="0.2">
      <c r="B33" s="19" t="s">
        <v>107</v>
      </c>
      <c r="C33" s="101">
        <v>8.3029338999999994E-2</v>
      </c>
    </row>
    <row r="34" spans="2:3" ht="15.75" customHeight="1" x14ac:dyDescent="0.2">
      <c r="B34" s="19" t="s">
        <v>108</v>
      </c>
      <c r="C34" s="101">
        <v>0.27541484799999999</v>
      </c>
    </row>
    <row r="35" spans="2:3" ht="15.75" customHeight="1" x14ac:dyDescent="0.2">
      <c r="B35" s="27" t="s">
        <v>41</v>
      </c>
      <c r="C35" s="48">
        <f>SUM(C26:C34)</f>
        <v>1</v>
      </c>
    </row>
  </sheetData>
  <sheetProtection algorithmName="SHA-512" hashValue="syKhmxxgKGDIgVl1qbLIQqcrE3jpLWsfhaQtgil3fQaXspe9pJkC7IN0fbUuE3Gdy1vFy4AZ8qy+edTuNigviQ==" saltValue="XHhVpHF0ASXs1nU3rmBuB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0.54098888956573243</v>
      </c>
      <c r="D2" s="52">
        <f>IFERROR(1-_xlfn.NORM.DIST(_xlfn.NORM.INV(SUM(D4:D5), 0, 1) + 1, 0, 1, TRUE), "")</f>
        <v>0.54098888956573243</v>
      </c>
      <c r="E2" s="52">
        <f>IFERROR(1-_xlfn.NORM.DIST(_xlfn.NORM.INV(SUM(E4:E5), 0, 1) + 1, 0, 1, TRUE), "")</f>
        <v>0.42579574716623525</v>
      </c>
      <c r="F2" s="52">
        <f>IFERROR(1-_xlfn.NORM.DIST(_xlfn.NORM.INV(SUM(F4:F5), 0, 1) + 1, 0, 1, TRUE), "")</f>
        <v>0.24679984924398335</v>
      </c>
      <c r="G2" s="52">
        <f>IFERROR(1-_xlfn.NORM.DIST(_xlfn.NORM.INV(SUM(G4:G5), 0, 1) + 1, 0, 1, TRUE), "")</f>
        <v>0.17238926718511649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0.32398131743426761</v>
      </c>
      <c r="D3" s="52">
        <f>IFERROR(_xlfn.NORM.DIST(_xlfn.NORM.INV(SUM(D4:D5), 0, 1) + 1, 0, 1, TRUE) - SUM(D4:D5), "")</f>
        <v>0.32398131743426761</v>
      </c>
      <c r="E3" s="52">
        <f>IFERROR(_xlfn.NORM.DIST(_xlfn.NORM.INV(SUM(E4:E5), 0, 1) + 1, 0, 1, TRUE) - SUM(E4:E5), "")</f>
        <v>0.36606994383376473</v>
      </c>
      <c r="F3" s="52">
        <f>IFERROR(_xlfn.NORM.DIST(_xlfn.NORM.INV(SUM(F4:F5), 0, 1) + 1, 0, 1, TRUE) - SUM(F4:F5), "")</f>
        <v>0.37697317075601666</v>
      </c>
      <c r="G3" s="52">
        <f>IFERROR(_xlfn.NORM.DIST(_xlfn.NORM.INV(SUM(G4:G5), 0, 1) + 1, 0, 1, TRUE) - SUM(G4:G5), "")</f>
        <v>0.34963485281488355</v>
      </c>
    </row>
    <row r="4" spans="1:15" ht="15.75" customHeight="1" x14ac:dyDescent="0.2">
      <c r="B4" s="5" t="s">
        <v>114</v>
      </c>
      <c r="C4" s="45">
        <v>9.4684276999999997E-2</v>
      </c>
      <c r="D4" s="53">
        <v>9.4684276999999997E-2</v>
      </c>
      <c r="E4" s="53">
        <v>0.12541483</v>
      </c>
      <c r="F4" s="53">
        <v>0.20625653999999999</v>
      </c>
      <c r="G4" s="53">
        <v>0.22179442999999999</v>
      </c>
    </row>
    <row r="5" spans="1:15" ht="15.75" customHeight="1" x14ac:dyDescent="0.2">
      <c r="B5" s="5" t="s">
        <v>115</v>
      </c>
      <c r="C5" s="45">
        <v>4.0345515999999998E-2</v>
      </c>
      <c r="D5" s="53">
        <v>4.0345515999999998E-2</v>
      </c>
      <c r="E5" s="53">
        <v>8.2719479000000012E-2</v>
      </c>
      <c r="F5" s="53">
        <v>0.16997044</v>
      </c>
      <c r="G5" s="53">
        <v>0.25618144999999998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0.67415874705839984</v>
      </c>
      <c r="D8" s="52">
        <f>IFERROR(1-_xlfn.NORM.DIST(_xlfn.NORM.INV(SUM(D10:D11), 0, 1) + 1, 0, 1, TRUE), "")</f>
        <v>0.67415874705839984</v>
      </c>
      <c r="E8" s="52">
        <f>IFERROR(1-_xlfn.NORM.DIST(_xlfn.NORM.INV(SUM(E10:E11), 0, 1) + 1, 0, 1, TRUE), "")</f>
        <v>0.63351915666396841</v>
      </c>
      <c r="F8" s="52">
        <f>IFERROR(1-_xlfn.NORM.DIST(_xlfn.NORM.INV(SUM(F10:F11), 0, 1) + 1, 0, 1, TRUE), "")</f>
        <v>0.67030311498289996</v>
      </c>
      <c r="G8" s="52">
        <f>IFERROR(1-_xlfn.NORM.DIST(_xlfn.NORM.INV(SUM(G10:G11), 0, 1) + 1, 0, 1, TRUE), "")</f>
        <v>0.77904198399784197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0.25251062394160018</v>
      </c>
      <c r="D9" s="52">
        <f>IFERROR(_xlfn.NORM.DIST(_xlfn.NORM.INV(SUM(D10:D11), 0, 1) + 1, 0, 1, TRUE) - SUM(D10:D11), "")</f>
        <v>0.25251062394160018</v>
      </c>
      <c r="E9" s="52">
        <f>IFERROR(_xlfn.NORM.DIST(_xlfn.NORM.INV(SUM(E10:E11), 0, 1) + 1, 0, 1, TRUE) - SUM(E10:E11), "")</f>
        <v>0.27655121233603158</v>
      </c>
      <c r="F9" s="52">
        <f>IFERROR(_xlfn.NORM.DIST(_xlfn.NORM.INV(SUM(F10:F11), 0, 1) + 1, 0, 1, TRUE) - SUM(F10:F11), "")</f>
        <v>0.25486926701710005</v>
      </c>
      <c r="G9" s="52">
        <f>IFERROR(_xlfn.NORM.DIST(_xlfn.NORM.INV(SUM(G10:G11), 0, 1) + 1, 0, 1, TRUE) - SUM(G10:G11), "")</f>
        <v>0.18250788500215803</v>
      </c>
    </row>
    <row r="10" spans="1:15" ht="15.75" customHeight="1" x14ac:dyDescent="0.2">
      <c r="B10" s="5" t="s">
        <v>119</v>
      </c>
      <c r="C10" s="45">
        <v>4.1724138000000001E-2</v>
      </c>
      <c r="D10" s="53">
        <v>4.1724138000000001E-2</v>
      </c>
      <c r="E10" s="53">
        <v>7.1251816999999995E-2</v>
      </c>
      <c r="F10" s="53">
        <v>5.3818811999999987E-2</v>
      </c>
      <c r="G10" s="53">
        <v>2.8392065000000001E-2</v>
      </c>
    </row>
    <row r="11" spans="1:15" ht="15.75" customHeight="1" x14ac:dyDescent="0.2">
      <c r="B11" s="5" t="s">
        <v>120</v>
      </c>
      <c r="C11" s="45">
        <v>3.1606491E-2</v>
      </c>
      <c r="D11" s="53">
        <v>3.1606491E-2</v>
      </c>
      <c r="E11" s="53">
        <v>1.8677814000000001E-2</v>
      </c>
      <c r="F11" s="53">
        <v>2.1008806000000001E-2</v>
      </c>
      <c r="G11" s="53">
        <v>1.0058065999999999E-2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0.82913434649999995</v>
      </c>
      <c r="D14" s="54">
        <v>0.83222591652800004</v>
      </c>
      <c r="E14" s="54">
        <v>0.83222591652800004</v>
      </c>
      <c r="F14" s="54">
        <v>0.69540820231900002</v>
      </c>
      <c r="G14" s="54">
        <v>0.69540820231900002</v>
      </c>
      <c r="H14" s="45">
        <v>0.52300000000000002</v>
      </c>
      <c r="I14" s="55">
        <v>0.52300000000000002</v>
      </c>
      <c r="J14" s="55">
        <v>0.52300000000000002</v>
      </c>
      <c r="K14" s="55">
        <v>0.52300000000000002</v>
      </c>
      <c r="L14" s="45">
        <v>0.45400000000000001</v>
      </c>
      <c r="M14" s="55">
        <v>0.45400000000000001</v>
      </c>
      <c r="N14" s="55">
        <v>0.45400000000000001</v>
      </c>
      <c r="O14" s="55">
        <v>0.45400000000000001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0.36746156362229559</v>
      </c>
      <c r="D15" s="52">
        <f t="shared" si="0"/>
        <v>0.36883170726829484</v>
      </c>
      <c r="E15" s="52">
        <f t="shared" si="0"/>
        <v>0.36883170726829484</v>
      </c>
      <c r="F15" s="52">
        <f t="shared" si="0"/>
        <v>0.30819587496115075</v>
      </c>
      <c r="G15" s="52">
        <f t="shared" si="0"/>
        <v>0.30819587496115075</v>
      </c>
      <c r="H15" s="52">
        <f t="shared" si="0"/>
        <v>0.23178680100000007</v>
      </c>
      <c r="I15" s="52">
        <f t="shared" si="0"/>
        <v>0.23178680100000007</v>
      </c>
      <c r="J15" s="52">
        <f t="shared" si="0"/>
        <v>0.23178680100000007</v>
      </c>
      <c r="K15" s="52">
        <f t="shared" si="0"/>
        <v>0.23178680100000007</v>
      </c>
      <c r="L15" s="52">
        <f t="shared" si="0"/>
        <v>0.20120689800000005</v>
      </c>
      <c r="M15" s="52">
        <f t="shared" si="0"/>
        <v>0.20120689800000005</v>
      </c>
      <c r="N15" s="52">
        <f t="shared" si="0"/>
        <v>0.20120689800000005</v>
      </c>
      <c r="O15" s="52">
        <f t="shared" si="0"/>
        <v>0.20120689800000005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k9UHyuY7R91hMAknE0GFXZOZi52FKDJd7rdCM8YnQ6oPPGHWGde6IlCtlaNMH3cCW9XSVP65Wa8p7pYnOc4v9Q==" saltValue="KFzL3VfR0MdeHhoKAOKtd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0.68534889219999995</v>
      </c>
      <c r="D2" s="53">
        <v>0.30438064999999997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0.17904148</v>
      </c>
      <c r="D3" s="53">
        <v>0.20097797000000001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0.11440976999999999</v>
      </c>
      <c r="D4" s="53">
        <v>0.46895798</v>
      </c>
      <c r="E4" s="53">
        <v>0.93621098995208696</v>
      </c>
      <c r="F4" s="53">
        <v>0.65972477197647095</v>
      </c>
      <c r="G4" s="53">
        <v>0</v>
      </c>
    </row>
    <row r="5" spans="1:7" x14ac:dyDescent="0.2">
      <c r="B5" s="3" t="s">
        <v>132</v>
      </c>
      <c r="C5" s="52">
        <v>2.1199853420000001E-2</v>
      </c>
      <c r="D5" s="52">
        <v>2.5683398E-2</v>
      </c>
      <c r="E5" s="52">
        <f>1-SUM(E2:E4)</f>
        <v>6.3789010047913042E-2</v>
      </c>
      <c r="F5" s="52">
        <f>1-SUM(F2:F4)</f>
        <v>0.34027522802352905</v>
      </c>
      <c r="G5" s="52">
        <f>1-SUM(G2:G4)</f>
        <v>1</v>
      </c>
    </row>
  </sheetData>
  <sheetProtection algorithmName="SHA-512" hashValue="zNvaxng8dJA3eKMjrmOCbgwMFymYbLMVgyLQopdLwGpDwWtP39oZrSCAfpxDw6kJKArMtdN4YCv317kGlx3fTw==" saltValue="s9PIMRmPs1GzbaICWa3zqg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7TWfpZytXCuh6GY6JRvdHqt1m711BrAEorWLpoOF4V5l7uGZCDvAOVYU287G3G9MI2KZIl2XIEmvv2MOg1vV7g==" saltValue="fgcYHfQtud5AK+08hH9HZ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epx+3CuFx39OyBwLIvAga3cT5P4EbypSYwPZCHQ1aQgT0tf88bZ1vL06XEaDDas7MQaF2KoViJJA5j3uIITP9A==" saltValue="CzNcrgYKPd0msjimpBrdd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XzfrYp6V0UxBkkEdIggq91DJsLnEPtyGsm+sWP5q6/eV/peGKGGGzGm4BWJvlQU5jKETFzwp0wALR9+IMw+Qww==" saltValue="pIGlATIzePzQhfNwt5yUQ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JgTU7gKPH6BK59z1uQj50qa7Vecod5ohE+0mlM1+qo2ZHUxGWClBYfeEiQRuR/VRKdLdZuU8SHEbJDaBkbooxw==" saltValue="gMQjy9t3BueR6Z3nC9750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2023-01-25T12:13:33Z</dcterms:modified>
</cp:coreProperties>
</file>