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E0402774-5E5B-4B13-A88C-FCB3B5E6F3E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A15" i="2"/>
  <c r="H11" i="2"/>
  <c r="G11" i="2"/>
  <c r="I11" i="2" s="1"/>
  <c r="H10" i="2"/>
  <c r="I10" i="2" s="1"/>
  <c r="G10" i="2"/>
  <c r="H9" i="2"/>
  <c r="G9" i="2"/>
  <c r="I9" i="2" s="1"/>
  <c r="I8" i="2"/>
  <c r="H8" i="2"/>
  <c r="G8" i="2"/>
  <c r="H7" i="2"/>
  <c r="G7" i="2"/>
  <c r="H6" i="2"/>
  <c r="I6" i="2" s="1"/>
  <c r="G6" i="2"/>
  <c r="H5" i="2"/>
  <c r="G5" i="2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I5" i="2" l="1"/>
  <c r="A16" i="2"/>
  <c r="A23" i="2"/>
  <c r="A24" i="2"/>
  <c r="I7" i="2"/>
  <c r="A31" i="2"/>
  <c r="A32" i="2"/>
  <c r="I38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<sst xmlns="http://schemas.openxmlformats.org/spreadsheetml/2006/main" count="2092" uniqueCount="337">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</sst>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305157.984375</v>
      </c>
    </row>
    <row r="8" spans="1:3" ht="15" customHeight="1" x14ac:dyDescent="0.2">
      <c r="B8" s="5" t="s">
        <v>19</v>
      </c>
      <c r="C8" s="44">
        <v>0.67099999999999993</v>
      </c>
    </row>
    <row r="9" spans="1:3" ht="15" customHeight="1" x14ac:dyDescent="0.2">
      <c r="B9" s="5" t="s">
        <v>20</v>
      </c>
      <c r="C9" s="45">
        <v>1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0.64900000000000002</v>
      </c>
    </row>
    <row r="12" spans="1:3" ht="15" customHeight="1" x14ac:dyDescent="0.2">
      <c r="B12" s="5" t="s">
        <v>23</v>
      </c>
      <c r="C12" s="45">
        <v>0.34300000000000003</v>
      </c>
    </row>
    <row r="13" spans="1:3" ht="15" customHeight="1" x14ac:dyDescent="0.2">
      <c r="B13" s="5" t="s">
        <v>24</v>
      </c>
      <c r="C13" s="45">
        <v>0.624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9.4700000000000006E-2</v>
      </c>
    </row>
    <row r="24" spans="1:3" ht="15" customHeight="1" x14ac:dyDescent="0.2">
      <c r="B24" s="15" t="s">
        <v>33</v>
      </c>
      <c r="C24" s="45">
        <v>0.47560000000000002</v>
      </c>
    </row>
    <row r="25" spans="1:3" ht="15" customHeight="1" x14ac:dyDescent="0.2">
      <c r="B25" s="15" t="s">
        <v>34</v>
      </c>
      <c r="C25" s="45">
        <v>0.35120000000000001</v>
      </c>
    </row>
    <row r="26" spans="1:3" ht="15" customHeight="1" x14ac:dyDescent="0.2">
      <c r="B26" s="15" t="s">
        <v>35</v>
      </c>
      <c r="C26" s="45">
        <v>7.85E-2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0.24526484356328099</v>
      </c>
    </row>
    <row r="30" spans="1:3" ht="14.25" customHeight="1" x14ac:dyDescent="0.2">
      <c r="B30" s="25" t="s">
        <v>38</v>
      </c>
      <c r="C30" s="99">
        <v>7.1366248290898701E-2</v>
      </c>
    </row>
    <row r="31" spans="1:3" ht="14.25" customHeight="1" x14ac:dyDescent="0.2">
      <c r="B31" s="25" t="s">
        <v>39</v>
      </c>
      <c r="C31" s="99">
        <v>0.13383437787010799</v>
      </c>
    </row>
    <row r="32" spans="1:3" ht="14.25" customHeight="1" x14ac:dyDescent="0.2">
      <c r="B32" s="25" t="s">
        <v>40</v>
      </c>
      <c r="C32" s="99">
        <v>0.54953453027571197</v>
      </c>
    </row>
    <row r="33" spans="1:5" ht="13.15" customHeight="1" x14ac:dyDescent="0.2">
      <c r="B33" s="27" t="s">
        <v>41</v>
      </c>
      <c r="C33" s="48">
        <f>SUM(C29:C32)</f>
        <v>0.99999999999999967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35.085246215327899</v>
      </c>
    </row>
    <row r="38" spans="1:5" ht="15" customHeight="1" x14ac:dyDescent="0.2">
      <c r="B38" s="11" t="s">
        <v>45</v>
      </c>
      <c r="C38" s="43">
        <v>52.323206293495801</v>
      </c>
      <c r="D38" s="12"/>
      <c r="E38" s="13"/>
    </row>
    <row r="39" spans="1:5" ht="15" customHeight="1" x14ac:dyDescent="0.2">
      <c r="B39" s="11" t="s">
        <v>46</v>
      </c>
      <c r="C39" s="43">
        <v>78.473350284344406</v>
      </c>
      <c r="D39" s="12"/>
      <c r="E39" s="12"/>
    </row>
    <row r="40" spans="1:5" ht="15" customHeight="1" x14ac:dyDescent="0.2">
      <c r="B40" s="11" t="s">
        <v>47</v>
      </c>
      <c r="C40" s="100">
        <v>6.67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32.185635869999999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1.7934200000000001E-2</v>
      </c>
      <c r="D45" s="12"/>
    </row>
    <row r="46" spans="1:5" ht="15.75" customHeight="1" x14ac:dyDescent="0.2">
      <c r="B46" s="11" t="s">
        <v>52</v>
      </c>
      <c r="C46" s="45">
        <v>9.4305199999999992E-2</v>
      </c>
      <c r="D46" s="12"/>
    </row>
    <row r="47" spans="1:5" ht="15.75" customHeight="1" x14ac:dyDescent="0.2">
      <c r="B47" s="11" t="s">
        <v>53</v>
      </c>
      <c r="C47" s="45">
        <v>0.37280439999999998</v>
      </c>
      <c r="D47" s="12"/>
      <c r="E47" s="13"/>
    </row>
    <row r="48" spans="1:5" ht="15" customHeight="1" x14ac:dyDescent="0.2">
      <c r="B48" s="11" t="s">
        <v>54</v>
      </c>
      <c r="C48" s="46">
        <v>0.51495619999999998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0.44195400000000001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0.21075215999999999</v>
      </c>
    </row>
    <row r="63" spans="1:4" ht="15.75" customHeight="1" x14ac:dyDescent="0.2">
      <c r="A63" s="4"/>
    </row>
  </sheetData>
  <sheetProtection algorithmName="SHA-512" hashValue="+jL5cefrTww8PvALl57hgaWvDXxihih7nO3nuj6vx0UiDSlnF9bqOf4UIvQgyPo6iptoAamxpWgyfk7V20w2fA==" saltValue="5CUpPR3AfcQF47gbU60E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0.62585077981227799</v>
      </c>
      <c r="C2" s="98">
        <v>0.95</v>
      </c>
      <c r="D2" s="56">
        <v>35.689233383193283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47.382446889693739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64.159596471670312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0.23379599852745619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0.19393675256463599</v>
      </c>
      <c r="C10" s="98">
        <v>0.95</v>
      </c>
      <c r="D10" s="56">
        <v>15.04169622018882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0.19393675256463599</v>
      </c>
      <c r="C11" s="98">
        <v>0.95</v>
      </c>
      <c r="D11" s="56">
        <v>15.04169622018882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0.19393675256463599</v>
      </c>
      <c r="C12" s="98">
        <v>0.95</v>
      </c>
      <c r="D12" s="56">
        <v>15.04169622018882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0.19393675256463599</v>
      </c>
      <c r="C13" s="98">
        <v>0.95</v>
      </c>
      <c r="D13" s="56">
        <v>15.04169622018882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0.19393675256463599</v>
      </c>
      <c r="C14" s="98">
        <v>0.95</v>
      </c>
      <c r="D14" s="56">
        <v>15.04169622018882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0.19393675256463599</v>
      </c>
      <c r="C15" s="98">
        <v>0.95</v>
      </c>
      <c r="D15" s="56">
        <v>15.04169622018882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0.2442892100584034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0.79339920000000008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1.584524665800485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1.584524665800485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0.50455093380000005</v>
      </c>
      <c r="C21" s="98">
        <v>0.95</v>
      </c>
      <c r="D21" s="56">
        <v>2.2607379783053059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25.63150323579427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4.9266956385450174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0.12753988049503001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0.15125855315919501</v>
      </c>
      <c r="C27" s="98">
        <v>0.95</v>
      </c>
      <c r="D27" s="56">
        <v>21.753258409153641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0.20538003002039601</v>
      </c>
      <c r="C29" s="98">
        <v>0.95</v>
      </c>
      <c r="D29" s="56">
        <v>62.659928701621617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0.91267686391518921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4.0261665E-3</v>
      </c>
      <c r="C32" s="98">
        <v>0.95</v>
      </c>
      <c r="D32" s="56">
        <v>0.46063596943431279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0.77036392210000004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0.90051289999999995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1.596381664E-2</v>
      </c>
      <c r="C38" s="98">
        <v>0.95</v>
      </c>
      <c r="D38" s="56">
        <v>4.0683420963409054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0.178250092095214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4IelFyp2r5i8WURu4CA5dYjGLoGN3Y7rGx9EjMdhYoo4rTKjSv5bxIIx/X6OyI+oSRmyTupvvXNufBfrLuDkuA==" saltValue="sc2QpVQj33NzcbsJB9OG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gCOR1YjUDRtdVjpZEsVhfLI0uWDidIC6GWKvJw+W1FrTAqyc/29wm0ElrRO379bROBT/LHzjRsi+C1ycqRVyaw==" saltValue="qORjoU0r5zzEBdNRzzilL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ATBvJ0XqBN5oLM6W/2cDkZ9fA6HZSNTySUi9qcVmmMzTLyw3hQwch8RE8T7V3gG73n9gGnB9v5PJSW/QT1A6hw==" saltValue="ovQ2nJTtTik/7gaKpfDt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0.12463605031371107</v>
      </c>
      <c r="C3" s="21">
        <f>frac_mam_1_5months * 2.6</f>
        <v>0.12463605031371107</v>
      </c>
      <c r="D3" s="21">
        <f>frac_mam_6_11months * 2.6</f>
        <v>0.11172837764024741</v>
      </c>
      <c r="E3" s="21">
        <f>frac_mam_12_23months * 2.6</f>
        <v>0.16187800019979484</v>
      </c>
      <c r="F3" s="21">
        <f>frac_mam_24_59months * 2.6</f>
        <v>0.10301200225949282</v>
      </c>
    </row>
    <row r="4" spans="1:6" ht="15.75" customHeight="1" x14ac:dyDescent="0.2">
      <c r="A4" s="3" t="s">
        <v>208</v>
      </c>
      <c r="B4" s="21">
        <f>frac_sam_1month * 2.6</f>
        <v>6.1844377219676998E-2</v>
      </c>
      <c r="C4" s="21">
        <f>frac_sam_1_5months * 2.6</f>
        <v>6.1844377219676998E-2</v>
      </c>
      <c r="D4" s="21">
        <f>frac_sam_6_11months * 2.6</f>
        <v>5.2219681441783961E-2</v>
      </c>
      <c r="E4" s="21">
        <f>frac_sam_12_23months * 2.6</f>
        <v>3.8363620825111924E-2</v>
      </c>
      <c r="F4" s="21">
        <f>frac_sam_24_59months * 2.6</f>
        <v>2.8392555192112801E-2</v>
      </c>
    </row>
  </sheetData>
  <sheetProtection algorithmName="SHA-512" hashValue="k+XsXwM0pkHtJtEejHqaMVrMwRsLFkxWa0wYJQVCElDR6X4MJuCRbV+iD8eUmXqhWu4t1cn9hahgowGloHXV9A==" saltValue="p52agfd2A1x0O7eBc1l8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0.67099999999999993</v>
      </c>
      <c r="E2" s="60">
        <f>food_insecure</f>
        <v>0.67099999999999993</v>
      </c>
      <c r="F2" s="60">
        <f>food_insecure</f>
        <v>0.67099999999999993</v>
      </c>
      <c r="G2" s="60">
        <f>food_insecure</f>
        <v>0.67099999999999993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0.67099999999999993</v>
      </c>
      <c r="F5" s="60">
        <f>food_insecure</f>
        <v>0.67099999999999993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0.67099999999999993</v>
      </c>
      <c r="F8" s="60">
        <f>food_insecure</f>
        <v>0.67099999999999993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0.67099999999999993</v>
      </c>
      <c r="F9" s="60">
        <f>food_insecure</f>
        <v>0.67099999999999993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0.34300000000000003</v>
      </c>
      <c r="E10" s="60">
        <f>IF(ISBLANK(comm_deliv), frac_children_health_facility,1)</f>
        <v>0.34300000000000003</v>
      </c>
      <c r="F10" s="60">
        <f>IF(ISBLANK(comm_deliv), frac_children_health_facility,1)</f>
        <v>0.34300000000000003</v>
      </c>
      <c r="G10" s="60">
        <f>IF(ISBLANK(comm_deliv), frac_children_health_facility,1)</f>
        <v>0.34300000000000003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0.67099999999999993</v>
      </c>
      <c r="I15" s="60">
        <f>food_insecure</f>
        <v>0.67099999999999993</v>
      </c>
      <c r="J15" s="60">
        <f>food_insecure</f>
        <v>0.67099999999999993</v>
      </c>
      <c r="K15" s="60">
        <f>food_insecure</f>
        <v>0.67099999999999993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0.64900000000000002</v>
      </c>
      <c r="I18" s="60">
        <f>frac_PW_health_facility</f>
        <v>0.64900000000000002</v>
      </c>
      <c r="J18" s="60">
        <f>frac_PW_health_facility</f>
        <v>0.64900000000000002</v>
      </c>
      <c r="K18" s="60">
        <f>frac_PW_health_facility</f>
        <v>0.64900000000000002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0.624</v>
      </c>
      <c r="M24" s="60">
        <f>famplan_unmet_need</f>
        <v>0.624</v>
      </c>
      <c r="N24" s="60">
        <f>famplan_unmet_need</f>
        <v>0.624</v>
      </c>
      <c r="O24" s="60">
        <f>famplan_unmet_need</f>
        <v>0.624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0.42521238697417196</v>
      </c>
      <c r="M25" s="60">
        <f>(1-food_insecure)*(0.49)+food_insecure*(0.7)</f>
        <v>0.63090999999999986</v>
      </c>
      <c r="N25" s="60">
        <f>(1-food_insecure)*(0.49)+food_insecure*(0.7)</f>
        <v>0.63090999999999986</v>
      </c>
      <c r="O25" s="60">
        <f>(1-food_insecure)*(0.49)+food_insecure*(0.7)</f>
        <v>0.63090999999999986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0.18223388013178801</v>
      </c>
      <c r="M26" s="60">
        <f>(1-food_insecure)*(0.21)+food_insecure*(0.3)</f>
        <v>0.27039000000000002</v>
      </c>
      <c r="N26" s="60">
        <f>(1-food_insecure)*(0.21)+food_insecure*(0.3)</f>
        <v>0.27039000000000002</v>
      </c>
      <c r="O26" s="60">
        <f>(1-food_insecure)*(0.21)+food_insecure*(0.3)</f>
        <v>0.27039000000000002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6.6520522094040024E-2</v>
      </c>
      <c r="M27" s="60">
        <f>(1-food_insecure)*(0.3)</f>
        <v>9.8700000000000024E-2</v>
      </c>
      <c r="N27" s="60">
        <f>(1-food_insecure)*(0.3)</f>
        <v>9.8700000000000024E-2</v>
      </c>
      <c r="O27" s="60">
        <f>(1-food_insecure)*(0.3)</f>
        <v>9.8700000000000024E-2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OgEOD/WP1bRsstUnDJWj5OgiJSocHHpLzCnLVzVb/tzHW2vxMrYotqxI62N6L0SN/0buX03oIL+YXdZSosxRjg==" saltValue="6HeRKSYN3XDXHocyu5K+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05ZjUX6GK28x5OLvwoQFnSF1Bk63ab2QhstGMJpi7fJiVM+Am6L6KxHpdEjXZF3Ypdu2XyIlaZEYce86gWJBsw==" saltValue="cuKFuWp8LzXt0ZWjnD1te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25Ozb+Jfcw2eryQUEGvtlYXijwtYYD9IvgYAoUHR3nlWKtEO+Xj9Jv/YmiQkKfrUSyvgBwC69/Tq8u0aQ0X6+w==" saltValue="uq2GB2xd1t7EZAWEEhAe/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77izUZ7yCyUHNFDitRnMGce4N+46qra2IWpfT9z5XF9tsxJFsmv6QrMtm6P+eFQR1RBx0/0bnqwWN9yE0LMU/A==" saltValue="MAlcebUQERVpmZrw9/mEO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8CKbBiRrQCVhW5T+ci+igst2vH+4UfuSLMz4eoeusarThzTGUbJKMTsa8TNiyuf86lh2AUR+XqScyOTld32UHg==" saltValue="bUMboPPNBEl8nyoGY3a8y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SPklIG4YZHzGJf7oy4irL9xBi6B8Y+CyjoewtLkbmS0uglLh7bqsoJ7ryJwcaDzsiP01wWOlV/vrHA1/UgFEw==" saltValue="mXMWI2T3n7mfZVOzwsFCZ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68955.75039999999</v>
      </c>
      <c r="C2" s="49">
        <v>105000</v>
      </c>
      <c r="D2" s="49">
        <v>178000</v>
      </c>
      <c r="E2" s="49">
        <v>139000</v>
      </c>
      <c r="F2" s="49">
        <v>90000</v>
      </c>
      <c r="G2" s="17">
        <f t="shared" ref="G2:G11" si="0">C2+D2+E2+F2</f>
        <v>512000</v>
      </c>
      <c r="H2" s="17">
        <f t="shared" ref="H2:H11" si="1">(B2 + stillbirth*B2/(1000-stillbirth))/(1-abortion)</f>
        <v>80964.707878836402</v>
      </c>
      <c r="I2" s="17">
        <f t="shared" ref="I2:I11" si="2">G2-H2</f>
        <v>431035.29212116357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69437.545599999983</v>
      </c>
      <c r="C3" s="50">
        <v>108000</v>
      </c>
      <c r="D3" s="50">
        <v>180000</v>
      </c>
      <c r="E3" s="50">
        <v>143000</v>
      </c>
      <c r="F3" s="50">
        <v>93000</v>
      </c>
      <c r="G3" s="17">
        <f t="shared" si="0"/>
        <v>524000</v>
      </c>
      <c r="H3" s="17">
        <f t="shared" si="1"/>
        <v>81530.409903673266</v>
      </c>
      <c r="I3" s="17">
        <f t="shared" si="2"/>
        <v>442469.59009632672</v>
      </c>
    </row>
    <row r="4" spans="1:9" ht="15.75" customHeight="1" x14ac:dyDescent="0.2">
      <c r="A4" s="5">
        <f t="shared" si="3"/>
        <v>2023</v>
      </c>
      <c r="B4" s="49">
        <v>69867.38559999998</v>
      </c>
      <c r="C4" s="50">
        <v>112000</v>
      </c>
      <c r="D4" s="50">
        <v>183000</v>
      </c>
      <c r="E4" s="50">
        <v>147000</v>
      </c>
      <c r="F4" s="50">
        <v>98000</v>
      </c>
      <c r="G4" s="17">
        <f t="shared" si="0"/>
        <v>540000</v>
      </c>
      <c r="H4" s="17">
        <f t="shared" si="1"/>
        <v>82035.108494186148</v>
      </c>
      <c r="I4" s="17">
        <f t="shared" si="2"/>
        <v>457964.89150581387</v>
      </c>
    </row>
    <row r="5" spans="1:9" ht="15.75" customHeight="1" x14ac:dyDescent="0.2">
      <c r="A5" s="5">
        <f t="shared" si="3"/>
        <v>2024</v>
      </c>
      <c r="B5" s="49">
        <v>70277.316599999962</v>
      </c>
      <c r="C5" s="50">
        <v>115000</v>
      </c>
      <c r="D5" s="50">
        <v>186000</v>
      </c>
      <c r="E5" s="50">
        <v>150000</v>
      </c>
      <c r="F5" s="50">
        <v>102000</v>
      </c>
      <c r="G5" s="17">
        <f t="shared" si="0"/>
        <v>553000</v>
      </c>
      <c r="H5" s="17">
        <f t="shared" si="1"/>
        <v>82516.430841821406</v>
      </c>
      <c r="I5" s="17">
        <f t="shared" si="2"/>
        <v>470483.56915817858</v>
      </c>
    </row>
    <row r="6" spans="1:9" ht="15.75" customHeight="1" x14ac:dyDescent="0.2">
      <c r="A6" s="5">
        <f t="shared" si="3"/>
        <v>2025</v>
      </c>
      <c r="B6" s="49">
        <v>70634.210000000006</v>
      </c>
      <c r="C6" s="50">
        <v>118000</v>
      </c>
      <c r="D6" s="50">
        <v>190000</v>
      </c>
      <c r="E6" s="50">
        <v>154000</v>
      </c>
      <c r="F6" s="50">
        <v>106000</v>
      </c>
      <c r="G6" s="17">
        <f t="shared" si="0"/>
        <v>568000</v>
      </c>
      <c r="H6" s="17">
        <f t="shared" si="1"/>
        <v>82935.478850250991</v>
      </c>
      <c r="I6" s="17">
        <f t="shared" si="2"/>
        <v>485064.52114974899</v>
      </c>
    </row>
    <row r="7" spans="1:9" ht="15.75" customHeight="1" x14ac:dyDescent="0.2">
      <c r="A7" s="5">
        <f t="shared" si="3"/>
        <v>2026</v>
      </c>
      <c r="B7" s="49">
        <v>71196.032400000011</v>
      </c>
      <c r="C7" s="50">
        <v>121000</v>
      </c>
      <c r="D7" s="50">
        <v>194000</v>
      </c>
      <c r="E7" s="50">
        <v>156000</v>
      </c>
      <c r="F7" s="50">
        <v>110000</v>
      </c>
      <c r="G7" s="17">
        <f t="shared" si="0"/>
        <v>581000</v>
      </c>
      <c r="H7" s="17">
        <f t="shared" si="1"/>
        <v>83595.145175857208</v>
      </c>
      <c r="I7" s="17">
        <f t="shared" si="2"/>
        <v>497404.85482414276</v>
      </c>
    </row>
    <row r="8" spans="1:9" ht="15.75" customHeight="1" x14ac:dyDescent="0.2">
      <c r="A8" s="5">
        <f t="shared" si="3"/>
        <v>2027</v>
      </c>
      <c r="B8" s="49">
        <v>71746.499799999991</v>
      </c>
      <c r="C8" s="50">
        <v>124000</v>
      </c>
      <c r="D8" s="50">
        <v>199000</v>
      </c>
      <c r="E8" s="50">
        <v>159000</v>
      </c>
      <c r="F8" s="50">
        <v>115000</v>
      </c>
      <c r="G8" s="17">
        <f t="shared" si="0"/>
        <v>597000</v>
      </c>
      <c r="H8" s="17">
        <f t="shared" si="1"/>
        <v>84241.478976581406</v>
      </c>
      <c r="I8" s="17">
        <f t="shared" si="2"/>
        <v>512758.52102341858</v>
      </c>
    </row>
    <row r="9" spans="1:9" ht="15.75" customHeight="1" x14ac:dyDescent="0.2">
      <c r="A9" s="5">
        <f t="shared" si="3"/>
        <v>2028</v>
      </c>
      <c r="B9" s="49">
        <v>72254.107199999999</v>
      </c>
      <c r="C9" s="50">
        <v>128000</v>
      </c>
      <c r="D9" s="50">
        <v>204000</v>
      </c>
      <c r="E9" s="50">
        <v>162000</v>
      </c>
      <c r="F9" s="50">
        <v>119000</v>
      </c>
      <c r="G9" s="17">
        <f t="shared" si="0"/>
        <v>613000</v>
      </c>
      <c r="H9" s="17">
        <f t="shared" si="1"/>
        <v>84837.488513418182</v>
      </c>
      <c r="I9" s="17">
        <f t="shared" si="2"/>
        <v>528162.51148658176</v>
      </c>
    </row>
    <row r="10" spans="1:9" ht="15.75" customHeight="1" x14ac:dyDescent="0.2">
      <c r="A10" s="5">
        <f t="shared" si="3"/>
        <v>2029</v>
      </c>
      <c r="B10" s="49">
        <v>72748.645199999999</v>
      </c>
      <c r="C10" s="50">
        <v>131000</v>
      </c>
      <c r="D10" s="50">
        <v>210000</v>
      </c>
      <c r="E10" s="50">
        <v>164000</v>
      </c>
      <c r="F10" s="50">
        <v>124000</v>
      </c>
      <c r="G10" s="17">
        <f t="shared" si="0"/>
        <v>629000</v>
      </c>
      <c r="H10" s="17">
        <f t="shared" si="1"/>
        <v>85418.152554817454</v>
      </c>
      <c r="I10" s="17">
        <f t="shared" si="2"/>
        <v>543581.8474451825</v>
      </c>
    </row>
    <row r="11" spans="1:9" ht="15.75" customHeight="1" x14ac:dyDescent="0.2">
      <c r="A11" s="5">
        <f t="shared" si="3"/>
        <v>2030</v>
      </c>
      <c r="B11" s="49">
        <v>73199.466</v>
      </c>
      <c r="C11" s="50">
        <v>133000</v>
      </c>
      <c r="D11" s="50">
        <v>215000</v>
      </c>
      <c r="E11" s="50">
        <v>168000</v>
      </c>
      <c r="F11" s="50">
        <v>128000</v>
      </c>
      <c r="G11" s="17">
        <f t="shared" si="0"/>
        <v>644000</v>
      </c>
      <c r="H11" s="17">
        <f t="shared" si="1"/>
        <v>85947.485847051546</v>
      </c>
      <c r="I11" s="17">
        <f t="shared" si="2"/>
        <v>558052.51415294851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sfVakjONWl29sWAaKMlR7Mydfze0h2tH0bwg+H0JAI+ZVq6KDy+9fBoMs2ymIZN2+Wn+8Evm8+wBaB1ut8t9A==" saltValue="q8WvpImt4ig85t/DrWMXQ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XLmjVS0ErzqSh6McwDRgPqgOzLLEaek0/BU9Hr+7pmz2DY2wP9VMTdKkWuqMszbCOw/LV2lORbFiyuKe2dh3Kg==" saltValue="kmDA8NgbeqMHwoWFIF1wG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1Brehuks4ShY1i+oa78DYCb1I32HuOniA9dorWkInNXiUQqEYBnEsUrB8cIjmmwrxSqhE51O1In09CvRYle6GQ==" saltValue="rGEcGhM4Z9BiIseV9Gtc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1vkmR9DU6q1yyRNQtqh600fiFin7+5Ccbw7rxscuiY6STCAfgd2rKSgelQmvz2m6viMj0Vr4Ydb64hPLSYEB0w==" saltValue="XdxyWFPAtwTIGoX8fDnB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R2WUhbbY6c18onzWvd+ufxGv3IS16wy1Z+RXY5aaHc1nUi0DVD3NS1vECmSuDfKXWh+qft3NrwDVLVGqH+HW+g==" saltValue="AXER0R7Mw4rQm8vXhMI6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ALoISldajUO1mDtv0IeYvnirlyTBcHl4H/UOzQ/gwzxH++PhUj1ah2KnBENcXFsPMmHj29lRashfA0nIEFTfLQ==" saltValue="8idIbTkZgYGTJbC4UvGQ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QS4VpILPLRIvtGb1zqiXQJY5hdZAzZ3bkYhruO5WPszF2N/8vmmSbto95K0C0Qc42w1I2xeJO0KlZKtr1/LY1g==" saltValue="psI91mFZya7Y/g3QOhBn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o2vzjhYlRhKnaPUSyfHyQQ8smZjsmm7LkWhh7UOvZVrRYCIJyZ8iu2I1LzVYFlhBl6TE7WdjwqvZkFyGLV/4mQ==" saltValue="w88VEd8wSkyjCEgbqbWL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BX0ORr1z4dCIJnOmuI1SseXuZO1c65B61uje/+ZRjK0CEaDs8vcBTa+Om6k3Q7Z5F4RZTdynfeJYyh0Z9mklcg==" saltValue="wywctnb7IskSDL/wpYeE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5s8FeAEaAPZwGY3rXHhf+cb6H6ieBTxd//QAf2AxG84NJYmRk8r0tCghCnMrjY065cFR4U7jRZjq74HMHierQ==" saltValue="mC2Y7iwPMiV01eawyJjIM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5.5425416000519246E-3</v>
      </c>
    </row>
    <row r="4" spans="1:8" ht="15.75" customHeight="1" x14ac:dyDescent="0.2">
      <c r="B4" s="19" t="s">
        <v>79</v>
      </c>
      <c r="C4" s="101">
        <v>0.1815936484819885</v>
      </c>
    </row>
    <row r="5" spans="1:8" ht="15.75" customHeight="1" x14ac:dyDescent="0.2">
      <c r="B5" s="19" t="s">
        <v>80</v>
      </c>
      <c r="C5" s="101">
        <v>7.1842386561212543E-2</v>
      </c>
    </row>
    <row r="6" spans="1:8" ht="15.75" customHeight="1" x14ac:dyDescent="0.2">
      <c r="B6" s="19" t="s">
        <v>81</v>
      </c>
      <c r="C6" s="101">
        <v>0.30561123027111042</v>
      </c>
    </row>
    <row r="7" spans="1:8" ht="15.75" customHeight="1" x14ac:dyDescent="0.2">
      <c r="B7" s="19" t="s">
        <v>82</v>
      </c>
      <c r="C7" s="101">
        <v>0.26631180522062559</v>
      </c>
    </row>
    <row r="8" spans="1:8" ht="15.75" customHeight="1" x14ac:dyDescent="0.2">
      <c r="B8" s="19" t="s">
        <v>83</v>
      </c>
      <c r="C8" s="101">
        <v>1.6393974586557211E-2</v>
      </c>
    </row>
    <row r="9" spans="1:8" ht="15.75" customHeight="1" x14ac:dyDescent="0.2">
      <c r="B9" s="19" t="s">
        <v>84</v>
      </c>
      <c r="C9" s="101">
        <v>7.342174159965327E-2</v>
      </c>
    </row>
    <row r="10" spans="1:8" ht="15.75" customHeight="1" x14ac:dyDescent="0.2">
      <c r="B10" s="19" t="s">
        <v>85</v>
      </c>
      <c r="C10" s="101">
        <v>7.9282671678800556E-2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0.14927529060312211</v>
      </c>
      <c r="D14" s="55">
        <v>0.14927529060312211</v>
      </c>
      <c r="E14" s="55">
        <v>0.14927529060312211</v>
      </c>
      <c r="F14" s="55">
        <v>0.14927529060312211</v>
      </c>
    </row>
    <row r="15" spans="1:8" ht="15.75" customHeight="1" x14ac:dyDescent="0.2">
      <c r="B15" s="19" t="s">
        <v>88</v>
      </c>
      <c r="C15" s="101">
        <v>0.19988581539524949</v>
      </c>
      <c r="D15" s="101">
        <v>0.19988581539524949</v>
      </c>
      <c r="E15" s="101">
        <v>0.19988581539524949</v>
      </c>
      <c r="F15" s="101">
        <v>0.19988581539524949</v>
      </c>
    </row>
    <row r="16" spans="1:8" ht="15.75" customHeight="1" x14ac:dyDescent="0.2">
      <c r="B16" s="19" t="s">
        <v>89</v>
      </c>
      <c r="C16" s="101">
        <v>3.017343110072503E-2</v>
      </c>
      <c r="D16" s="101">
        <v>3.017343110072503E-2</v>
      </c>
      <c r="E16" s="101">
        <v>3.017343110072503E-2</v>
      </c>
      <c r="F16" s="101">
        <v>3.017343110072503E-2</v>
      </c>
    </row>
    <row r="17" spans="1:8" ht="15.75" customHeight="1" x14ac:dyDescent="0.2">
      <c r="B17" s="19" t="s">
        <v>90</v>
      </c>
      <c r="C17" s="101">
        <v>1.8966017111528049E-2</v>
      </c>
      <c r="D17" s="101">
        <v>1.8966017111528049E-2</v>
      </c>
      <c r="E17" s="101">
        <v>1.8966017111528049E-2</v>
      </c>
      <c r="F17" s="101">
        <v>1.8966017111528049E-2</v>
      </c>
    </row>
    <row r="18" spans="1:8" ht="15.75" customHeight="1" x14ac:dyDescent="0.2">
      <c r="B18" s="19" t="s">
        <v>91</v>
      </c>
      <c r="C18" s="101">
        <v>7.4189207571187563E-2</v>
      </c>
      <c r="D18" s="101">
        <v>7.4189207571187563E-2</v>
      </c>
      <c r="E18" s="101">
        <v>7.4189207571187563E-2</v>
      </c>
      <c r="F18" s="101">
        <v>7.4189207571187563E-2</v>
      </c>
    </row>
    <row r="19" spans="1:8" ht="15.75" customHeight="1" x14ac:dyDescent="0.2">
      <c r="B19" s="19" t="s">
        <v>92</v>
      </c>
      <c r="C19" s="101">
        <v>1.6173287491110421E-2</v>
      </c>
      <c r="D19" s="101">
        <v>1.6173287491110421E-2</v>
      </c>
      <c r="E19" s="101">
        <v>1.6173287491110421E-2</v>
      </c>
      <c r="F19" s="101">
        <v>1.6173287491110421E-2</v>
      </c>
    </row>
    <row r="20" spans="1:8" ht="15.75" customHeight="1" x14ac:dyDescent="0.2">
      <c r="B20" s="19" t="s">
        <v>93</v>
      </c>
      <c r="C20" s="101">
        <v>8.9197001207202142E-2</v>
      </c>
      <c r="D20" s="101">
        <v>8.9197001207202142E-2</v>
      </c>
      <c r="E20" s="101">
        <v>8.9197001207202142E-2</v>
      </c>
      <c r="F20" s="101">
        <v>8.9197001207202142E-2</v>
      </c>
    </row>
    <row r="21" spans="1:8" ht="15.75" customHeight="1" x14ac:dyDescent="0.2">
      <c r="B21" s="19" t="s">
        <v>94</v>
      </c>
      <c r="C21" s="101">
        <v>9.9734343753155569E-2</v>
      </c>
      <c r="D21" s="101">
        <v>9.9734343753155569E-2</v>
      </c>
      <c r="E21" s="101">
        <v>9.9734343753155569E-2</v>
      </c>
      <c r="F21" s="101">
        <v>9.9734343753155569E-2</v>
      </c>
    </row>
    <row r="22" spans="1:8" ht="15.75" customHeight="1" x14ac:dyDescent="0.2">
      <c r="B22" s="19" t="s">
        <v>95</v>
      </c>
      <c r="C22" s="101">
        <v>0.32240560576671939</v>
      </c>
      <c r="D22" s="101">
        <v>0.32240560576671939</v>
      </c>
      <c r="E22" s="101">
        <v>0.32240560576671939</v>
      </c>
      <c r="F22" s="101">
        <v>0.32240560576671939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8.7170950000000011E-2</v>
      </c>
    </row>
    <row r="27" spans="1:8" ht="15.75" customHeight="1" x14ac:dyDescent="0.2">
      <c r="B27" s="19" t="s">
        <v>102</v>
      </c>
      <c r="C27" s="101">
        <v>8.9932480000000006E-3</v>
      </c>
    </row>
    <row r="28" spans="1:8" ht="15.75" customHeight="1" x14ac:dyDescent="0.2">
      <c r="B28" s="19" t="s">
        <v>103</v>
      </c>
      <c r="C28" s="101">
        <v>0.15608702499999999</v>
      </c>
    </row>
    <row r="29" spans="1:8" ht="15.75" customHeight="1" x14ac:dyDescent="0.2">
      <c r="B29" s="19" t="s">
        <v>104</v>
      </c>
      <c r="C29" s="101">
        <v>0.16826559799999999</v>
      </c>
    </row>
    <row r="30" spans="1:8" ht="15.75" customHeight="1" x14ac:dyDescent="0.2">
      <c r="B30" s="19" t="s">
        <v>2</v>
      </c>
      <c r="C30" s="101">
        <v>0.106258319</v>
      </c>
    </row>
    <row r="31" spans="1:8" ht="15.75" customHeight="1" x14ac:dyDescent="0.2">
      <c r="B31" s="19" t="s">
        <v>105</v>
      </c>
      <c r="C31" s="101">
        <v>0.11025383499999999</v>
      </c>
    </row>
    <row r="32" spans="1:8" ht="15.75" customHeight="1" x14ac:dyDescent="0.2">
      <c r="B32" s="19" t="s">
        <v>106</v>
      </c>
      <c r="C32" s="101">
        <v>1.8920856E-2</v>
      </c>
    </row>
    <row r="33" spans="2:3" ht="15.75" customHeight="1" x14ac:dyDescent="0.2">
      <c r="B33" s="19" t="s">
        <v>107</v>
      </c>
      <c r="C33" s="101">
        <v>8.4360093999999997E-2</v>
      </c>
    </row>
    <row r="34" spans="2:3" ht="15.75" customHeight="1" x14ac:dyDescent="0.2">
      <c r="B34" s="19" t="s">
        <v>108</v>
      </c>
      <c r="C34" s="101">
        <v>0.25969007599999999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YTd5qnObjG0qJ0BNYdIMLfApjwvHtqMFV/yQaSqUXqb809Xo7UrClqKZM/N2/RTiPanG+eQN8j9oH9hknRyM6A==" saltValue="KE418Wu1TPtQvZukFSQUE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0.51290302317356662</v>
      </c>
      <c r="D2" s="52">
        <f>IFERROR(1-_xlfn.NORM.DIST(_xlfn.NORM.INV(SUM(D4:D5), 0, 1) + 1, 0, 1, TRUE), "")</f>
        <v>0.51290302317356662</v>
      </c>
      <c r="E2" s="52">
        <f>IFERROR(1-_xlfn.NORM.DIST(_xlfn.NORM.INV(SUM(E4:E5), 0, 1) + 1, 0, 1, TRUE), "")</f>
        <v>0.53515494586484058</v>
      </c>
      <c r="F2" s="52">
        <f>IFERROR(1-_xlfn.NORM.DIST(_xlfn.NORM.INV(SUM(F4:F5), 0, 1) + 1, 0, 1, TRUE), "")</f>
        <v>0.3191526460537748</v>
      </c>
      <c r="G2" s="52">
        <f>IFERROR(1-_xlfn.NORM.DIST(_xlfn.NORM.INV(SUM(G4:G5), 0, 1) + 1, 0, 1, TRUE), "")</f>
        <v>0.30425483370600359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0.3361425850191152</v>
      </c>
      <c r="D3" s="52">
        <f>IFERROR(_xlfn.NORM.DIST(_xlfn.NORM.INV(SUM(D4:D5), 0, 1) + 1, 0, 1, TRUE) - SUM(D4:D5), "")</f>
        <v>0.3361425850191152</v>
      </c>
      <c r="E3" s="52">
        <f>IFERROR(_xlfn.NORM.DIST(_xlfn.NORM.INV(SUM(E4:E5), 0, 1) + 1, 0, 1, TRUE) - SUM(E4:E5), "")</f>
        <v>0.32659930764181988</v>
      </c>
      <c r="F3" s="52">
        <f>IFERROR(_xlfn.NORM.DIST(_xlfn.NORM.INV(SUM(F4:F5), 0, 1) + 1, 0, 1, TRUE) - SUM(F4:F5), "")</f>
        <v>0.3827672597875762</v>
      </c>
      <c r="G3" s="52">
        <f>IFERROR(_xlfn.NORM.DIST(_xlfn.NORM.INV(SUM(G4:G5), 0, 1) + 1, 0, 1, TRUE) - SUM(G4:G5), "")</f>
        <v>0.38289871429623956</v>
      </c>
    </row>
    <row r="4" spans="1:15" ht="15.75" customHeight="1" x14ac:dyDescent="0.2">
      <c r="B4" s="5" t="s">
        <v>114</v>
      </c>
      <c r="C4" s="45">
        <v>0.107231549918652</v>
      </c>
      <c r="D4" s="53">
        <v>0.107231549918652</v>
      </c>
      <c r="E4" s="53">
        <v>0.105063296854496</v>
      </c>
      <c r="F4" s="53">
        <v>0.21476276218891099</v>
      </c>
      <c r="G4" s="53">
        <v>0.21621328592300401</v>
      </c>
    </row>
    <row r="5" spans="1:15" ht="15.75" customHeight="1" x14ac:dyDescent="0.2">
      <c r="B5" s="5" t="s">
        <v>115</v>
      </c>
      <c r="C5" s="45">
        <v>4.3722841888666188E-2</v>
      </c>
      <c r="D5" s="53">
        <v>4.3722841888666188E-2</v>
      </c>
      <c r="E5" s="53">
        <v>3.3182449638843502E-2</v>
      </c>
      <c r="F5" s="53">
        <v>8.3317331969738007E-2</v>
      </c>
      <c r="G5" s="53">
        <v>9.6633166074752808E-2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0.67834518678416311</v>
      </c>
      <c r="D8" s="52">
        <f>IFERROR(1-_xlfn.NORM.DIST(_xlfn.NORM.INV(SUM(D10:D11), 0, 1) + 1, 0, 1, TRUE), "")</f>
        <v>0.67834518678416311</v>
      </c>
      <c r="E8" s="52">
        <f>IFERROR(1-_xlfn.NORM.DIST(_xlfn.NORM.INV(SUM(E10:E11), 0, 1) + 1, 0, 1, TRUE), "")</f>
        <v>0.70180798178161174</v>
      </c>
      <c r="F8" s="52">
        <f>IFERROR(1-_xlfn.NORM.DIST(_xlfn.NORM.INV(SUM(F10:F11), 0, 1) + 1, 0, 1, TRUE), "")</f>
        <v>0.66473954677398006</v>
      </c>
      <c r="G8" s="52">
        <f>IFERROR(1-_xlfn.NORM.DIST(_xlfn.NORM.INV(SUM(G10:G11), 0, 1) + 1, 0, 1, TRUE), "")</f>
        <v>0.73879605839310558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0.24993157185684148</v>
      </c>
      <c r="D9" s="52">
        <f>IFERROR(_xlfn.NORM.DIST(_xlfn.NORM.INV(SUM(D10:D11), 0, 1) + 1, 0, 1, TRUE) - SUM(D10:D11), "")</f>
        <v>0.24993157185684148</v>
      </c>
      <c r="E9" s="52">
        <f>IFERROR(_xlfn.NORM.DIST(_xlfn.NORM.INV(SUM(E10:E11), 0, 1) + 1, 0, 1, TRUE) - SUM(E10:E11), "")</f>
        <v>0.23513507241760695</v>
      </c>
      <c r="F9" s="52">
        <f>IFERROR(_xlfn.NORM.DIST(_xlfn.NORM.INV(SUM(F10:F11), 0, 1) + 1, 0, 1, TRUE) - SUM(F10:F11), "")</f>
        <v>0.25824444513951739</v>
      </c>
      <c r="G9" s="52">
        <f>IFERROR(_xlfn.NORM.DIST(_xlfn.NORM.INV(SUM(G10:G11), 0, 1) + 1, 0, 1, TRUE) - SUM(G10:G11), "")</f>
        <v>0.21066372720243071</v>
      </c>
    </row>
    <row r="10" spans="1:15" ht="15.75" customHeight="1" x14ac:dyDescent="0.2">
      <c r="B10" s="5" t="s">
        <v>119</v>
      </c>
      <c r="C10" s="45">
        <v>4.7936942428350407E-2</v>
      </c>
      <c r="D10" s="53">
        <v>4.7936942428350407E-2</v>
      </c>
      <c r="E10" s="53">
        <v>4.2972452938556699E-2</v>
      </c>
      <c r="F10" s="53">
        <v>6.2260769307613401E-2</v>
      </c>
      <c r="G10" s="53">
        <v>3.96200008690357E-2</v>
      </c>
    </row>
    <row r="11" spans="1:15" ht="15.75" customHeight="1" x14ac:dyDescent="0.2">
      <c r="B11" s="5" t="s">
        <v>120</v>
      </c>
      <c r="C11" s="45">
        <v>2.3786298930644999E-2</v>
      </c>
      <c r="D11" s="53">
        <v>2.3786298930644999E-2</v>
      </c>
      <c r="E11" s="53">
        <v>2.00844928622246E-2</v>
      </c>
      <c r="F11" s="53">
        <v>1.47552387788892E-2</v>
      </c>
      <c r="G11" s="53">
        <v>1.0920213535428E-2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0.7510305827499999</v>
      </c>
      <c r="D14" s="54">
        <v>0.74746872583599999</v>
      </c>
      <c r="E14" s="54">
        <v>0.74746872583599999</v>
      </c>
      <c r="F14" s="54">
        <v>0.77730240855800004</v>
      </c>
      <c r="G14" s="54">
        <v>0.77730240855800004</v>
      </c>
      <c r="H14" s="45">
        <v>0.505</v>
      </c>
      <c r="I14" s="55">
        <v>0.505</v>
      </c>
      <c r="J14" s="55">
        <v>0.505</v>
      </c>
      <c r="K14" s="55">
        <v>0.505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0.33192097016869349</v>
      </c>
      <c r="D15" s="52">
        <f t="shared" si="0"/>
        <v>0.33034679325812355</v>
      </c>
      <c r="E15" s="52">
        <f t="shared" si="0"/>
        <v>0.33034679325812355</v>
      </c>
      <c r="F15" s="52">
        <f t="shared" si="0"/>
        <v>0.34353190867184236</v>
      </c>
      <c r="G15" s="52">
        <f t="shared" si="0"/>
        <v>0.34353190867184236</v>
      </c>
      <c r="H15" s="52">
        <f t="shared" si="0"/>
        <v>0.22318677000000001</v>
      </c>
      <c r="I15" s="52">
        <f t="shared" si="0"/>
        <v>0.22318677000000001</v>
      </c>
      <c r="J15" s="52">
        <f t="shared" si="0"/>
        <v>0.22318677000000001</v>
      </c>
      <c r="K15" s="52">
        <f t="shared" si="0"/>
        <v>0.22318677000000001</v>
      </c>
      <c r="L15" s="52">
        <f t="shared" si="0"/>
        <v>0.190482174</v>
      </c>
      <c r="M15" s="52">
        <f t="shared" si="0"/>
        <v>0.190482174</v>
      </c>
      <c r="N15" s="52">
        <f t="shared" si="0"/>
        <v>0.190482174</v>
      </c>
      <c r="O15" s="52">
        <f t="shared" si="0"/>
        <v>0.190482174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niYaHo34ljMD4T/btoGknCwXmsLsOAuqAHrGexKL3zlCFsCk6/ELvlReulw/8wKuwW2EbdnESlYkrp+U7NDrkw==" saltValue="5IruefIoSAeFN+/YTH/4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0.79560317990000007</v>
      </c>
      <c r="D2" s="53">
        <v>0.57174323999999999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0.12970050999999999</v>
      </c>
      <c r="D3" s="53">
        <v>0.22481667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2.5244823E-2</v>
      </c>
      <c r="D4" s="53">
        <v>0.15797641000000001</v>
      </c>
      <c r="E4" s="53">
        <v>0.98277044296264604</v>
      </c>
      <c r="F4" s="53">
        <v>0.77001976966857899</v>
      </c>
      <c r="G4" s="53">
        <v>0</v>
      </c>
    </row>
    <row r="5" spans="1:7" x14ac:dyDescent="0.2">
      <c r="B5" s="3" t="s">
        <v>132</v>
      </c>
      <c r="C5" s="52">
        <v>4.9451513289999999E-2</v>
      </c>
      <c r="D5" s="52">
        <v>4.5463691000000001E-2</v>
      </c>
      <c r="E5" s="52">
        <f>1-SUM(E2:E4)</f>
        <v>1.722955703735396E-2</v>
      </c>
      <c r="F5" s="52">
        <f>1-SUM(F2:F4)</f>
        <v>0.22998023033142101</v>
      </c>
      <c r="G5" s="52">
        <f>1-SUM(G2:G4)</f>
        <v>1</v>
      </c>
    </row>
  </sheetData>
  <sheetProtection algorithmName="SHA-512" hashValue="nWmuaXBjvXcHGF7X6tvvQC/pLAXRjT27f32j/kwi8jWQvdj3kViy6eUj82YuzZz8HpkfqBX5B+rVmXtw47xD3w==" saltValue="H1fSMQaZp2xh/0ouVraJT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/Y9kdzUEnUGZpIrqNKmh1PzNmx0XIe4L2yMFed1ury/+yPfFxbSZpo6EQzNQfO8qnSsIUhn/zelxMoeQ79cKg==" saltValue="eDn7g+SWlhkZasGr/wLu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p+pcwi5OJmTKNAGmKoyen0cBq8IVNuR6eC7MuXpP8tBjRv3tRwcXYuycOb5fZZwHzdFjGqbOp07YUZlVvjScuQ==" saltValue="h8eNCxx9U4Z7TYulrgL/O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f6EQksGj5hC6IFyHW8Zri/ZbySIdKYmrUDDrlVZpphZDs+VUrmIOd4+vLAyc7TtlEDvl9bSonrJ1ALueNAFrIA==" saltValue="zvNvohEK/Oqn5D8jloo0U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E3AhX4b7Zafw6ylmAMf5UuZ0Akerta0ek7Dbdb7GJWZGLxDCs/gxTTAmbOVo2wQHOiFrd417ESbUJ47cAnQwng==" saltValue="5PtJMefHml5p6T59KTJSk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2023-01-25T12:23:26Z</dcterms:modified>
</cp:coreProperties>
</file>