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28AD09C-ECBE-4320-B16A-B238186B42F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1" i="2"/>
  <c r="A17" i="2"/>
  <c r="A16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A3" i="2"/>
  <c r="H2" i="2"/>
  <c r="G2" i="2"/>
  <c r="A2" i="2"/>
  <c r="A31" i="2" s="1"/>
  <c r="C33" i="1"/>
  <c r="C20" i="1"/>
  <c r="I3" i="2" l="1"/>
  <c r="I6" i="2"/>
  <c r="A24" i="2"/>
  <c r="A25" i="2"/>
  <c r="I7" i="2"/>
  <c r="A29" i="2"/>
  <c r="A32" i="2"/>
  <c r="A33" i="2"/>
  <c r="A37" i="2"/>
  <c r="I9" i="2"/>
  <c r="I2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<sst xmlns="http://schemas.openxmlformats.org/spreadsheetml/2006/main" count="2092" uniqueCount="337">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</sst>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2099234.15625</v>
      </c>
    </row>
    <row r="8" spans="1:3" ht="15" customHeight="1" x14ac:dyDescent="0.2">
      <c r="B8" s="5" t="s">
        <v>19</v>
      </c>
      <c r="C8" s="44">
        <v>8.6999999999999994E-2</v>
      </c>
    </row>
    <row r="9" spans="1:3" ht="15" customHeight="1" x14ac:dyDescent="0.2">
      <c r="B9" s="5" t="s">
        <v>20</v>
      </c>
      <c r="C9" s="45">
        <v>2.5000000000000001E-2</v>
      </c>
    </row>
    <row r="10" spans="1:3" ht="15" customHeight="1" x14ac:dyDescent="0.2">
      <c r="B10" s="5" t="s">
        <v>21</v>
      </c>
      <c r="C10" s="45">
        <v>0.42616619110107401</v>
      </c>
    </row>
    <row r="11" spans="1:3" ht="15" customHeight="1" x14ac:dyDescent="0.2">
      <c r="B11" s="5" t="s">
        <v>22</v>
      </c>
      <c r="C11" s="45">
        <v>0.86199999999999999</v>
      </c>
    </row>
    <row r="12" spans="1:3" ht="15" customHeight="1" x14ac:dyDescent="0.2">
      <c r="B12" s="5" t="s">
        <v>23</v>
      </c>
      <c r="C12" s="45">
        <v>0.52</v>
      </c>
    </row>
    <row r="13" spans="1:3" ht="15" customHeight="1" x14ac:dyDescent="0.2">
      <c r="B13" s="5" t="s">
        <v>24</v>
      </c>
      <c r="C13" s="45">
        <v>0.34399999999999997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0.1226</v>
      </c>
    </row>
    <row r="24" spans="1:3" ht="15" customHeight="1" x14ac:dyDescent="0.2">
      <c r="B24" s="15" t="s">
        <v>33</v>
      </c>
      <c r="C24" s="45">
        <v>0.47810000000000002</v>
      </c>
    </row>
    <row r="25" spans="1:3" ht="15" customHeight="1" x14ac:dyDescent="0.2">
      <c r="B25" s="15" t="s">
        <v>34</v>
      </c>
      <c r="C25" s="45">
        <v>0.32329999999999998</v>
      </c>
    </row>
    <row r="26" spans="1:3" ht="15" customHeight="1" x14ac:dyDescent="0.2">
      <c r="B26" s="15" t="s">
        <v>35</v>
      </c>
      <c r="C26" s="45">
        <v>7.5999999999999998E-2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0.31902004277447799</v>
      </c>
    </row>
    <row r="30" spans="1:3" ht="14.25" customHeight="1" x14ac:dyDescent="0.2">
      <c r="B30" s="25" t="s">
        <v>38</v>
      </c>
      <c r="C30" s="99">
        <v>3.8927695356885797E-2</v>
      </c>
    </row>
    <row r="31" spans="1:3" ht="14.25" customHeight="1" x14ac:dyDescent="0.2">
      <c r="B31" s="25" t="s">
        <v>39</v>
      </c>
      <c r="C31" s="99">
        <v>8.8909302312887295E-2</v>
      </c>
    </row>
    <row r="32" spans="1:3" ht="14.25" customHeight="1" x14ac:dyDescent="0.2">
      <c r="B32" s="25" t="s">
        <v>40</v>
      </c>
      <c r="C32" s="99">
        <v>0.55314295955574899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12.166279579710499</v>
      </c>
    </row>
    <row r="38" spans="1:5" ht="15" customHeight="1" x14ac:dyDescent="0.2">
      <c r="B38" s="11" t="s">
        <v>45</v>
      </c>
      <c r="C38" s="43">
        <v>20.7475156404135</v>
      </c>
      <c r="D38" s="12"/>
      <c r="E38" s="13"/>
    </row>
    <row r="39" spans="1:5" ht="15" customHeight="1" x14ac:dyDescent="0.2">
      <c r="B39" s="11" t="s">
        <v>46</v>
      </c>
      <c r="C39" s="43">
        <v>24.519627144447099</v>
      </c>
      <c r="D39" s="12"/>
      <c r="E39" s="12"/>
    </row>
    <row r="40" spans="1:5" ht="15" customHeight="1" x14ac:dyDescent="0.2">
      <c r="B40" s="11" t="s">
        <v>47</v>
      </c>
      <c r="C40" s="100">
        <v>0.95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12.74327555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1.6052E-2</v>
      </c>
      <c r="D45" s="12"/>
    </row>
    <row r="46" spans="1:5" ht="15.75" customHeight="1" x14ac:dyDescent="0.2">
      <c r="B46" s="11" t="s">
        <v>52</v>
      </c>
      <c r="C46" s="45">
        <v>6.0999770000000002E-2</v>
      </c>
      <c r="D46" s="12"/>
    </row>
    <row r="47" spans="1:5" ht="15.75" customHeight="1" x14ac:dyDescent="0.2">
      <c r="B47" s="11" t="s">
        <v>53</v>
      </c>
      <c r="C47" s="45">
        <v>0.1196266</v>
      </c>
      <c r="D47" s="12"/>
      <c r="E47" s="13"/>
    </row>
    <row r="48" spans="1:5" ht="15" customHeight="1" x14ac:dyDescent="0.2">
      <c r="B48" s="11" t="s">
        <v>54</v>
      </c>
      <c r="C48" s="46">
        <v>0.8033216299999999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0.55069000000000001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0.10957712999999999</v>
      </c>
    </row>
    <row r="63" spans="1:4" ht="15.75" customHeight="1" x14ac:dyDescent="0.2">
      <c r="A63" s="4"/>
    </row>
  </sheetData>
  <sheetProtection algorithmName="SHA-512" hashValue="3Ra8ugclcPUVaVs0lg+AxJJB4LwLQkCW6AESU5ZCX1VbjBoiEqn6PeBpFFVF4qlkcV7nVObS4PEETFBUsX6BKw==" saltValue="G3jpuIsvvvL4+7xJkCzf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0.66557767949962598</v>
      </c>
      <c r="C2" s="98">
        <v>0.95</v>
      </c>
      <c r="D2" s="56">
        <v>58.046796887133439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39.880519812243307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414.67441286273032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0.574003752057752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0.20624720445403999</v>
      </c>
      <c r="C10" s="98">
        <v>0.95</v>
      </c>
      <c r="D10" s="56">
        <v>13.01281925603921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0.20624720445403999</v>
      </c>
      <c r="C11" s="98">
        <v>0.95</v>
      </c>
      <c r="D11" s="56">
        <v>13.01281925603921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0.20624720445403999</v>
      </c>
      <c r="C12" s="98">
        <v>0.95</v>
      </c>
      <c r="D12" s="56">
        <v>13.01281925603921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0.20624720445403999</v>
      </c>
      <c r="C13" s="98">
        <v>0.95</v>
      </c>
      <c r="D13" s="56">
        <v>13.01281925603921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0.20624720445403999</v>
      </c>
      <c r="C14" s="98">
        <v>0.95</v>
      </c>
      <c r="D14" s="56">
        <v>13.01281925603921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0.20624720445403999</v>
      </c>
      <c r="C15" s="98">
        <v>0.95</v>
      </c>
      <c r="D15" s="56">
        <v>13.01281925603921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0.71958505593456223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0.26</v>
      </c>
      <c r="C18" s="98">
        <v>0.95</v>
      </c>
      <c r="D18" s="56">
        <v>9.5596491969757462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9.5596491969757462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0.64999759999999995</v>
      </c>
      <c r="C21" s="98">
        <v>0.95</v>
      </c>
      <c r="D21" s="56">
        <v>7.0854510124004477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22.45630615654899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4.2797375448782464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0.16430574333039999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0.16085993668708801</v>
      </c>
      <c r="C27" s="98">
        <v>0.95</v>
      </c>
      <c r="D27" s="56">
        <v>18.574405815047299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0.65063135075419498</v>
      </c>
      <c r="C29" s="98">
        <v>0.95</v>
      </c>
      <c r="D29" s="56">
        <v>113.6877099192675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0.15047472246892171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4.2000000000000003E-2</v>
      </c>
      <c r="C32" s="98">
        <v>0.95</v>
      </c>
      <c r="D32" s="56">
        <v>1.545126983877527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5.8038420680000001E-2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7.1150145338447288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0.80150104113057907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HI+GNPJOsvTBCZU8QF0kEfBwlrog5N3d595YLOELCB2oQBFjWtGQMAMn/WxegPeqjXsXoLoln8ewARk8yR2/Q==" saltValue="oyW2MVf5Z9RfkDOyPQ0/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ZmERtgg1UuX92uLUtAdlaOHVlKzyEhVdUvA1H1lKO/b4RbdMIPlAtplJHgYPswsOssWhoSQlNfRuDSrJprIOQ==" saltValue="yLP7vrlzTFEUlNJCAVQt5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dq9WuIPCEDuT2RUNiYEJaUEfUAtANo6UBFhMeU0w8ROqG5kHZgsjCdPEB4KxgzULG6lpO7Ep8st8sxCz1Cgig==" saltValue="ZUzLOYaBHxN+se5S7yl9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1.90800458192825E-2</v>
      </c>
      <c r="C3" s="21">
        <f>frac_mam_1_5months * 2.6</f>
        <v>1.90800458192825E-2</v>
      </c>
      <c r="D3" s="21">
        <f>frac_mam_6_11months * 2.6</f>
        <v>2.181455716490752E-2</v>
      </c>
      <c r="E3" s="21">
        <f>frac_mam_12_23months * 2.6</f>
        <v>2.698361203074446E-2</v>
      </c>
      <c r="F3" s="21">
        <f>frac_mam_24_59months * 2.6</f>
        <v>1.0831178817898142E-2</v>
      </c>
    </row>
    <row r="4" spans="1:6" ht="15.75" customHeight="1" x14ac:dyDescent="0.2">
      <c r="A4" s="3" t="s">
        <v>208</v>
      </c>
      <c r="B4" s="21">
        <f>frac_sam_1month * 2.6</f>
        <v>5.9327530208975595E-3</v>
      </c>
      <c r="C4" s="21">
        <f>frac_sam_1_5months * 2.6</f>
        <v>5.9327530208975595E-3</v>
      </c>
      <c r="D4" s="21">
        <f>frac_sam_6_11months * 2.6</f>
        <v>1.2831438216381202E-3</v>
      </c>
      <c r="E4" s="21">
        <f>frac_sam_12_23months * 2.6</f>
        <v>1.24847903498448E-3</v>
      </c>
      <c r="F4" s="21">
        <f>frac_sam_24_59months * 2.6</f>
        <v>4.5087812002747802E-3</v>
      </c>
    </row>
  </sheetData>
  <sheetProtection algorithmName="SHA-512" hashValue="YKRVtNfIuvCJ5xN1qONFVIXca86eVfCn5SL2BQ3DI49i6AF0wWTg7OMyVA9ohb0FEeFju5m9FLl7eE22bC3q/w==" saltValue="/Ijb/vMgbTojGUPG/+sK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8.6999999999999994E-2</v>
      </c>
      <c r="E2" s="60">
        <f>food_insecure</f>
        <v>8.6999999999999994E-2</v>
      </c>
      <c r="F2" s="60">
        <f>food_insecure</f>
        <v>8.6999999999999994E-2</v>
      </c>
      <c r="G2" s="60">
        <f>food_insecure</f>
        <v>8.6999999999999994E-2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8.6999999999999994E-2</v>
      </c>
      <c r="F5" s="60">
        <f>food_insecure</f>
        <v>8.6999999999999994E-2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8.6999999999999994E-2</v>
      </c>
      <c r="F8" s="60">
        <f>food_insecure</f>
        <v>8.6999999999999994E-2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8.6999999999999994E-2</v>
      </c>
      <c r="F9" s="60">
        <f>food_insecure</f>
        <v>8.6999999999999994E-2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0.52</v>
      </c>
      <c r="E10" s="60">
        <f>IF(ISBLANK(comm_deliv), frac_children_health_facility,1)</f>
        <v>0.52</v>
      </c>
      <c r="F10" s="60">
        <f>IF(ISBLANK(comm_deliv), frac_children_health_facility,1)</f>
        <v>0.52</v>
      </c>
      <c r="G10" s="60">
        <f>IF(ISBLANK(comm_deliv), frac_children_health_facility,1)</f>
        <v>0.52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8.6999999999999994E-2</v>
      </c>
      <c r="I15" s="60">
        <f>food_insecure</f>
        <v>8.6999999999999994E-2</v>
      </c>
      <c r="J15" s="60">
        <f>food_insecure</f>
        <v>8.6999999999999994E-2</v>
      </c>
      <c r="K15" s="60">
        <f>food_insecure</f>
        <v>8.6999999999999994E-2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0.86199999999999999</v>
      </c>
      <c r="I18" s="60">
        <f>frac_PW_health_facility</f>
        <v>0.86199999999999999</v>
      </c>
      <c r="J18" s="60">
        <f>frac_PW_health_facility</f>
        <v>0.86199999999999999</v>
      </c>
      <c r="K18" s="60">
        <f>frac_PW_health_facility</f>
        <v>0.86199999999999999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2.5000000000000001E-2</v>
      </c>
      <c r="I19" s="60">
        <f>frac_malaria_risk</f>
        <v>2.5000000000000001E-2</v>
      </c>
      <c r="J19" s="60">
        <f>frac_malaria_risk</f>
        <v>2.5000000000000001E-2</v>
      </c>
      <c r="K19" s="60">
        <f>frac_malaria_risk</f>
        <v>2.5000000000000001E-2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0.34399999999999997</v>
      </c>
      <c r="M24" s="60">
        <f>famplan_unmet_need</f>
        <v>0.34399999999999997</v>
      </c>
      <c r="N24" s="60">
        <f>famplan_unmet_need</f>
        <v>0.34399999999999997</v>
      </c>
      <c r="O24" s="60">
        <f>famplan_unmet_need</f>
        <v>0.34399999999999997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0.29166251004905708</v>
      </c>
      <c r="M25" s="60">
        <f>(1-food_insecure)*(0.49)+food_insecure*(0.7)</f>
        <v>0.50827</v>
      </c>
      <c r="N25" s="60">
        <f>(1-food_insecure)*(0.49)+food_insecure*(0.7)</f>
        <v>0.50827</v>
      </c>
      <c r="O25" s="60">
        <f>(1-food_insecure)*(0.49)+food_insecure*(0.7)</f>
        <v>0.50827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0.12499821859245305</v>
      </c>
      <c r="M26" s="60">
        <f>(1-food_insecure)*(0.21)+food_insecure*(0.3)</f>
        <v>0.21783000000000002</v>
      </c>
      <c r="N26" s="60">
        <f>(1-food_insecure)*(0.21)+food_insecure*(0.3)</f>
        <v>0.21783000000000002</v>
      </c>
      <c r="O26" s="60">
        <f>(1-food_insecure)*(0.21)+food_insecure*(0.3)</f>
        <v>0.21783000000000002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0.1571730802574158</v>
      </c>
      <c r="M27" s="60">
        <f>(1-food_insecure)*(0.3)</f>
        <v>0.27389999999999998</v>
      </c>
      <c r="N27" s="60">
        <f>(1-food_insecure)*(0.3)</f>
        <v>0.27389999999999998</v>
      </c>
      <c r="O27" s="60">
        <f>(1-food_insecure)*(0.3)</f>
        <v>0.27389999999999998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0.42616619110107401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2.5000000000000001E-2</v>
      </c>
      <c r="D34" s="60">
        <f t="shared" si="3"/>
        <v>2.5000000000000001E-2</v>
      </c>
      <c r="E34" s="60">
        <f t="shared" si="3"/>
        <v>2.5000000000000001E-2</v>
      </c>
      <c r="F34" s="60">
        <f t="shared" si="3"/>
        <v>2.5000000000000001E-2</v>
      </c>
      <c r="G34" s="60">
        <f t="shared" si="3"/>
        <v>2.5000000000000001E-2</v>
      </c>
      <c r="H34" s="60">
        <f t="shared" si="3"/>
        <v>2.5000000000000001E-2</v>
      </c>
      <c r="I34" s="60">
        <f t="shared" si="3"/>
        <v>2.5000000000000001E-2</v>
      </c>
      <c r="J34" s="60">
        <f t="shared" si="3"/>
        <v>2.5000000000000001E-2</v>
      </c>
      <c r="K34" s="60">
        <f t="shared" si="3"/>
        <v>2.5000000000000001E-2</v>
      </c>
      <c r="L34" s="60">
        <f t="shared" si="3"/>
        <v>2.5000000000000001E-2</v>
      </c>
      <c r="M34" s="60">
        <f t="shared" si="3"/>
        <v>2.5000000000000001E-2</v>
      </c>
      <c r="N34" s="60">
        <f t="shared" si="3"/>
        <v>2.5000000000000001E-2</v>
      </c>
      <c r="O34" s="60">
        <f t="shared" si="3"/>
        <v>2.5000000000000001E-2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h7cxCXaQUPdxpylx7p8alvbjIBSueqTW9YME+LhWgsUFzUlJDy1/VDTULgn1z8KlRzH8R+VPkk/k7LqHCcZ/w==" saltValue="dOfO0OZJiayTOfbqbhPU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FVjzxcMT9CkoJFUGgVU3OTX/Lt7ee1as+hfaWpKZRrHyL5ZpvSf4BG9vyIp9bLO4waPwZ0JqaeeviA9FKgt36Q==" saltValue="XIU50UGs3gX3nTIZyRMY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bnoND0C8KyUF4lwkpW6knpvZoir3VYQk6roFnyzGTEvnKGU7d1afBJxtMSa6CVhZFFsOG4TQVB+1InPBy5A8Q==" saltValue="vEJsuOSr78pslSTLrszf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KQPq1zrh/Q8ZW2imz6uJN9fjdOEiNEkMJcEVcCcydj40ATYMw8GqXJ+v+xES/f4M/U2P7BWS9n89nxtVWhqVw==" saltValue="OGtM0GHojPqp8GMxOFtp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6wcKJaAl4WrdBvzU86T/l6sFHOPTJ1KZK+mfXIcsywA4dFNvY//RJ+31YCUvia9a87pQuLD5NKKyFSP1Cp1bw==" saltValue="w/d1hlCQd3OC3yL1l8eZ6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xx9sFFkztah/XspeK0b6zEh1OJ3zvmOgGOClQrAg1Ui/7JTrclbiO4LkmU0WBn1plcMIrOBXDaunbhSUyZCjw==" saltValue="MSZhW3P+Imo4wXOnQ4J9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428099.10879999999</v>
      </c>
      <c r="C2" s="49">
        <v>955000</v>
      </c>
      <c r="D2" s="49">
        <v>1727000</v>
      </c>
      <c r="E2" s="49">
        <v>1332000</v>
      </c>
      <c r="F2" s="49">
        <v>954000</v>
      </c>
      <c r="G2" s="17">
        <f t="shared" ref="G2:G11" si="0">C2+D2+E2+F2</f>
        <v>4968000</v>
      </c>
      <c r="H2" s="17">
        <f t="shared" ref="H2:H11" si="1">(B2 + stillbirth*B2/(1000-stillbirth))/(1-abortion)</f>
        <v>492755.58013647923</v>
      </c>
      <c r="I2" s="17">
        <f t="shared" ref="I2:I11" si="2">G2-H2</f>
        <v>4475244.4198635211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428987.51479999989</v>
      </c>
      <c r="C3" s="50">
        <v>951000</v>
      </c>
      <c r="D3" s="50">
        <v>1757000</v>
      </c>
      <c r="E3" s="50">
        <v>1367000</v>
      </c>
      <c r="F3" s="50">
        <v>993000</v>
      </c>
      <c r="G3" s="17">
        <f t="shared" si="0"/>
        <v>5068000</v>
      </c>
      <c r="H3" s="17">
        <f t="shared" si="1"/>
        <v>493778.16347040347</v>
      </c>
      <c r="I3" s="17">
        <f t="shared" si="2"/>
        <v>4574221.8365295967</v>
      </c>
    </row>
    <row r="4" spans="1:9" ht="15.75" customHeight="1" x14ac:dyDescent="0.2">
      <c r="A4" s="5">
        <f t="shared" si="3"/>
        <v>2023</v>
      </c>
      <c r="B4" s="49">
        <v>429627.63599999988</v>
      </c>
      <c r="C4" s="50">
        <v>945000</v>
      </c>
      <c r="D4" s="50">
        <v>1784000</v>
      </c>
      <c r="E4" s="50">
        <v>1403000</v>
      </c>
      <c r="F4" s="50">
        <v>1032000</v>
      </c>
      <c r="G4" s="17">
        <f t="shared" si="0"/>
        <v>5164000</v>
      </c>
      <c r="H4" s="17">
        <f t="shared" si="1"/>
        <v>494514.96316650143</v>
      </c>
      <c r="I4" s="17">
        <f t="shared" si="2"/>
        <v>4669485.0368334986</v>
      </c>
    </row>
    <row r="5" spans="1:9" ht="15.75" customHeight="1" x14ac:dyDescent="0.2">
      <c r="A5" s="5">
        <f t="shared" si="3"/>
        <v>2024</v>
      </c>
      <c r="B5" s="49">
        <v>429997.12559999991</v>
      </c>
      <c r="C5" s="50">
        <v>939000</v>
      </c>
      <c r="D5" s="50">
        <v>1808000</v>
      </c>
      <c r="E5" s="50">
        <v>1440000</v>
      </c>
      <c r="F5" s="50">
        <v>1070000</v>
      </c>
      <c r="G5" s="17">
        <f t="shared" si="0"/>
        <v>5257000</v>
      </c>
      <c r="H5" s="17">
        <f t="shared" si="1"/>
        <v>494940.2573529639</v>
      </c>
      <c r="I5" s="17">
        <f t="shared" si="2"/>
        <v>4762059.742647036</v>
      </c>
    </row>
    <row r="6" spans="1:9" ht="15.75" customHeight="1" x14ac:dyDescent="0.2">
      <c r="A6" s="5">
        <f t="shared" si="3"/>
        <v>2025</v>
      </c>
      <c r="B6" s="49">
        <v>430097.10200000001</v>
      </c>
      <c r="C6" s="50">
        <v>938000</v>
      </c>
      <c r="D6" s="50">
        <v>1827000</v>
      </c>
      <c r="E6" s="50">
        <v>1476000</v>
      </c>
      <c r="F6" s="50">
        <v>1105000</v>
      </c>
      <c r="G6" s="17">
        <f t="shared" si="0"/>
        <v>5346000</v>
      </c>
      <c r="H6" s="17">
        <f t="shared" si="1"/>
        <v>495055.33334347483</v>
      </c>
      <c r="I6" s="17">
        <f t="shared" si="2"/>
        <v>4850944.6666565249</v>
      </c>
    </row>
    <row r="7" spans="1:9" ht="15.75" customHeight="1" x14ac:dyDescent="0.2">
      <c r="A7" s="5">
        <f t="shared" si="3"/>
        <v>2026</v>
      </c>
      <c r="B7" s="49">
        <v>430086.20039999997</v>
      </c>
      <c r="C7" s="50">
        <v>938000</v>
      </c>
      <c r="D7" s="50">
        <v>1842000</v>
      </c>
      <c r="E7" s="50">
        <v>1515000</v>
      </c>
      <c r="F7" s="50">
        <v>1140000</v>
      </c>
      <c r="G7" s="17">
        <f t="shared" si="0"/>
        <v>5435000</v>
      </c>
      <c r="H7" s="17">
        <f t="shared" si="1"/>
        <v>495042.78525794507</v>
      </c>
      <c r="I7" s="17">
        <f t="shared" si="2"/>
        <v>4939957.2147420552</v>
      </c>
    </row>
    <row r="8" spans="1:9" ht="15.75" customHeight="1" x14ac:dyDescent="0.2">
      <c r="A8" s="5">
        <f t="shared" si="3"/>
        <v>2027</v>
      </c>
      <c r="B8" s="49">
        <v>429814.67200000002</v>
      </c>
      <c r="C8" s="50">
        <v>943000</v>
      </c>
      <c r="D8" s="50">
        <v>1854000</v>
      </c>
      <c r="E8" s="50">
        <v>1553000</v>
      </c>
      <c r="F8" s="50">
        <v>1173000</v>
      </c>
      <c r="G8" s="17">
        <f t="shared" si="0"/>
        <v>5523000</v>
      </c>
      <c r="H8" s="17">
        <f t="shared" si="1"/>
        <v>494730.24750321684</v>
      </c>
      <c r="I8" s="17">
        <f t="shared" si="2"/>
        <v>5028269.7524967827</v>
      </c>
    </row>
    <row r="9" spans="1:9" ht="15.75" customHeight="1" x14ac:dyDescent="0.2">
      <c r="A9" s="5">
        <f t="shared" si="3"/>
        <v>2028</v>
      </c>
      <c r="B9" s="49">
        <v>429283.6081999999</v>
      </c>
      <c r="C9" s="50">
        <v>949000</v>
      </c>
      <c r="D9" s="50">
        <v>1860000</v>
      </c>
      <c r="E9" s="50">
        <v>1591000</v>
      </c>
      <c r="F9" s="50">
        <v>1204000</v>
      </c>
      <c r="G9" s="17">
        <f t="shared" si="0"/>
        <v>5604000</v>
      </c>
      <c r="H9" s="17">
        <f t="shared" si="1"/>
        <v>494118.97631512198</v>
      </c>
      <c r="I9" s="17">
        <f t="shared" si="2"/>
        <v>5109881.0236848779</v>
      </c>
    </row>
    <row r="10" spans="1:9" ht="15.75" customHeight="1" x14ac:dyDescent="0.2">
      <c r="A10" s="5">
        <f t="shared" si="3"/>
        <v>2029</v>
      </c>
      <c r="B10" s="49">
        <v>428453.0627999999</v>
      </c>
      <c r="C10" s="50">
        <v>956000</v>
      </c>
      <c r="D10" s="50">
        <v>1865000</v>
      </c>
      <c r="E10" s="50">
        <v>1628000</v>
      </c>
      <c r="F10" s="50">
        <v>1236000</v>
      </c>
      <c r="G10" s="17">
        <f t="shared" si="0"/>
        <v>5685000</v>
      </c>
      <c r="H10" s="17">
        <f t="shared" si="1"/>
        <v>493162.99235721584</v>
      </c>
      <c r="I10" s="17">
        <f t="shared" si="2"/>
        <v>5191837.0076427842</v>
      </c>
    </row>
    <row r="11" spans="1:9" ht="15.75" customHeight="1" x14ac:dyDescent="0.2">
      <c r="A11" s="5">
        <f t="shared" si="3"/>
        <v>2030</v>
      </c>
      <c r="B11" s="49">
        <v>427346.46500000003</v>
      </c>
      <c r="C11" s="50">
        <v>964000</v>
      </c>
      <c r="D11" s="50">
        <v>1868000</v>
      </c>
      <c r="E11" s="50">
        <v>1662000</v>
      </c>
      <c r="F11" s="50">
        <v>1269000</v>
      </c>
      <c r="G11" s="17">
        <f t="shared" si="0"/>
        <v>5763000</v>
      </c>
      <c r="H11" s="17">
        <f t="shared" si="1"/>
        <v>491889.26337785606</v>
      </c>
      <c r="I11" s="17">
        <f t="shared" si="2"/>
        <v>5271110.7366221435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WlvKXkztgn+8pvYkZGjV8Yl79A+3osTTz5rnT8wsLiw8L1Vi/Cko5ybbWvmdiS1e8vm45Gc8p4F+uRd4S6x1g==" saltValue="rdjopuf/0XT+s/on9yTnN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5KVr4ttF+j9Ea05zatiho2+ujylQ49l/6/fqq07t4XwO2PlUc1yNCPyUhcQFWy829IfhO1o98YdqGHEUe8sY2Q==" saltValue="JrUiZVLw1GUwMLT4zK3/H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C+jcXhkIgop75o9NA6PpyZSOwBYxY0zYEMnO0ifTfFx9oUnxNC1Vy2iEJLvxP1UVvBzlb6d4bgzcubXj23S8Q==" saltValue="e+iork9ydto/HsS5EUwj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2oHOia9Pga2xKFLYmQNTUVUive0QZC+nDOiegE9hr1GXRPWnFnTkjgjD8pqNS7kbG3D8yvKCngt8PaMmNKVyjA==" saltValue="INfxm+lIDS3vQTIvLmGo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sU2oLHYRA3DPLEUR2cDBYAf68fA/L34z4+DrXU0VgeKhnNRMSh5An3N8PAFBiJ0UzponiV/HL+qkjBAzc8Q5w==" saltValue="cKpp5ziiFF1pf6PIi2co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oz6vjfaMtESzfxN6+Umvu3jq0ntsRVMLCgHzMgZYizM6DdCjXpKimd0oRZzAfO0PmTaWDookh7p/7gTcOeb1w==" saltValue="uTAqe6kMlvR4vhfwQO9Y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59rj6bIdxwM2+goAdbRS5G6dfYNzT91TJ4eDNMWmuljIW8HfCQRRRt6ilXi0WZkAeBDKVX5GDsMAlNFM3d8UQ==" saltValue="bhRNzBKfofz9kjqQr930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OwZhm3QBd6+IpRjmIm4o+ggdFYRbsfbqDqhndKvq//GVggjtwSKG95H5VMpG9ypuUmm54CHAtNMUCRlfSxJ3Q==" saltValue="IUALEa3kv8E/Ft8whP//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/Cb6z23jg55X0k1M4ekSPi2CywBSPZGqiHSblWZLtaqY/HDLUmKvz7Bkiw1G/yq9eWhsdDZRk7xELwvGv+Z+g==" saltValue="saFAMhndm7kJhQYa+lT/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UQXrRK0N9F2K3vP8HfCsNuP0DIwWJetDLZbmCeSk04mzRd41CPmiFNMLD4qMmJXwn64gsAc49RAqw5+DKZkQg==" saltValue="Qn+I06gHGm9q6kBlSb0+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3.5130817819071071E-3</v>
      </c>
    </row>
    <row r="4" spans="1:8" ht="15.75" customHeight="1" x14ac:dyDescent="0.2">
      <c r="B4" s="19" t="s">
        <v>79</v>
      </c>
      <c r="C4" s="101">
        <v>0.16756844370482921</v>
      </c>
    </row>
    <row r="5" spans="1:8" ht="15.75" customHeight="1" x14ac:dyDescent="0.2">
      <c r="B5" s="19" t="s">
        <v>80</v>
      </c>
      <c r="C5" s="101">
        <v>5.9256639761155201E-2</v>
      </c>
    </row>
    <row r="6" spans="1:8" ht="15.75" customHeight="1" x14ac:dyDescent="0.2">
      <c r="B6" s="19" t="s">
        <v>81</v>
      </c>
      <c r="C6" s="101">
        <v>0.25038142372736832</v>
      </c>
    </row>
    <row r="7" spans="1:8" ht="15.75" customHeight="1" x14ac:dyDescent="0.2">
      <c r="B7" s="19" t="s">
        <v>82</v>
      </c>
      <c r="C7" s="101">
        <v>0.2720050554315106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0.16469480841599021</v>
      </c>
    </row>
    <row r="10" spans="1:8" ht="15.75" customHeight="1" x14ac:dyDescent="0.2">
      <c r="B10" s="19" t="s">
        <v>85</v>
      </c>
      <c r="C10" s="101">
        <v>8.2580547177239449E-2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0.12824227691316409</v>
      </c>
      <c r="D14" s="55">
        <v>0.12824227691316409</v>
      </c>
      <c r="E14" s="55">
        <v>0.12824227691316409</v>
      </c>
      <c r="F14" s="55">
        <v>0.12824227691316409</v>
      </c>
    </row>
    <row r="15" spans="1:8" ht="15.75" customHeight="1" x14ac:dyDescent="0.2">
      <c r="B15" s="19" t="s">
        <v>88</v>
      </c>
      <c r="C15" s="101">
        <v>0.23084694781112761</v>
      </c>
      <c r="D15" s="101">
        <v>0.23084694781112761</v>
      </c>
      <c r="E15" s="101">
        <v>0.23084694781112761</v>
      </c>
      <c r="F15" s="101">
        <v>0.23084694781112761</v>
      </c>
    </row>
    <row r="16" spans="1:8" ht="15.75" customHeight="1" x14ac:dyDescent="0.2">
      <c r="B16" s="19" t="s">
        <v>89</v>
      </c>
      <c r="C16" s="101">
        <v>1.8637472624411601E-2</v>
      </c>
      <c r="D16" s="101">
        <v>1.8637472624411601E-2</v>
      </c>
      <c r="E16" s="101">
        <v>1.8637472624411601E-2</v>
      </c>
      <c r="F16" s="101">
        <v>1.8637472624411601E-2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1.6307097155405061E-4</v>
      </c>
      <c r="D18" s="101">
        <v>1.6307097155405061E-4</v>
      </c>
      <c r="E18" s="101">
        <v>1.6307097155405061E-4</v>
      </c>
      <c r="F18" s="101">
        <v>1.6307097155405061E-4</v>
      </c>
    </row>
    <row r="19" spans="1:8" ht="15.75" customHeight="1" x14ac:dyDescent="0.2">
      <c r="B19" s="19" t="s">
        <v>92</v>
      </c>
      <c r="C19" s="101">
        <v>9.4710085342881983E-3</v>
      </c>
      <c r="D19" s="101">
        <v>9.4710085342881983E-3</v>
      </c>
      <c r="E19" s="101">
        <v>9.4710085342881983E-3</v>
      </c>
      <c r="F19" s="101">
        <v>9.4710085342881983E-3</v>
      </c>
    </row>
    <row r="20" spans="1:8" ht="15.75" customHeight="1" x14ac:dyDescent="0.2">
      <c r="B20" s="19" t="s">
        <v>93</v>
      </c>
      <c r="C20" s="101">
        <v>3.060338697811155E-2</v>
      </c>
      <c r="D20" s="101">
        <v>3.060338697811155E-2</v>
      </c>
      <c r="E20" s="101">
        <v>3.060338697811155E-2</v>
      </c>
      <c r="F20" s="101">
        <v>3.060338697811155E-2</v>
      </c>
    </row>
    <row r="21" spans="1:8" ht="15.75" customHeight="1" x14ac:dyDescent="0.2">
      <c r="B21" s="19" t="s">
        <v>94</v>
      </c>
      <c r="C21" s="101">
        <v>0.16378983136586209</v>
      </c>
      <c r="D21" s="101">
        <v>0.16378983136586209</v>
      </c>
      <c r="E21" s="101">
        <v>0.16378983136586209</v>
      </c>
      <c r="F21" s="101">
        <v>0.16378983136586209</v>
      </c>
    </row>
    <row r="22" spans="1:8" ht="15.75" customHeight="1" x14ac:dyDescent="0.2">
      <c r="B22" s="19" t="s">
        <v>95</v>
      </c>
      <c r="C22" s="101">
        <v>0.41824600480148089</v>
      </c>
      <c r="D22" s="101">
        <v>0.41824600480148089</v>
      </c>
      <c r="E22" s="101">
        <v>0.41824600480148089</v>
      </c>
      <c r="F22" s="101">
        <v>0.41824600480148089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4.9290206000000003E-2</v>
      </c>
    </row>
    <row r="27" spans="1:8" ht="15.75" customHeight="1" x14ac:dyDescent="0.2">
      <c r="B27" s="19" t="s">
        <v>102</v>
      </c>
      <c r="C27" s="101">
        <v>2.8242382999999999E-2</v>
      </c>
    </row>
    <row r="28" spans="1:8" ht="15.75" customHeight="1" x14ac:dyDescent="0.2">
      <c r="B28" s="19" t="s">
        <v>103</v>
      </c>
      <c r="C28" s="101">
        <v>0.34948395100000001</v>
      </c>
    </row>
    <row r="29" spans="1:8" ht="15.75" customHeight="1" x14ac:dyDescent="0.2">
      <c r="B29" s="19" t="s">
        <v>104</v>
      </c>
      <c r="C29" s="101">
        <v>0.20214362399999999</v>
      </c>
    </row>
    <row r="30" spans="1:8" ht="15.75" customHeight="1" x14ac:dyDescent="0.2">
      <c r="B30" s="19" t="s">
        <v>2</v>
      </c>
      <c r="C30" s="101">
        <v>0.105324062</v>
      </c>
    </row>
    <row r="31" spans="1:8" ht="15.75" customHeight="1" x14ac:dyDescent="0.2">
      <c r="B31" s="19" t="s">
        <v>105</v>
      </c>
      <c r="C31" s="101">
        <v>5.5211837999999999E-2</v>
      </c>
    </row>
    <row r="32" spans="1:8" ht="15.75" customHeight="1" x14ac:dyDescent="0.2">
      <c r="B32" s="19" t="s">
        <v>106</v>
      </c>
      <c r="C32" s="101">
        <v>8.5237639999999996E-3</v>
      </c>
    </row>
    <row r="33" spans="2:3" ht="15.75" customHeight="1" x14ac:dyDescent="0.2">
      <c r="B33" s="19" t="s">
        <v>107</v>
      </c>
      <c r="C33" s="101">
        <v>0.16815316199999999</v>
      </c>
    </row>
    <row r="34" spans="2:3" ht="15.75" customHeight="1" x14ac:dyDescent="0.2">
      <c r="B34" s="19" t="s">
        <v>108</v>
      </c>
      <c r="C34" s="101">
        <v>3.3627008999999999E-2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VsoiSv9pw/mFu+Rr7jtFYR6zlIQ4atURRhz0U8/Z5Su/LdeJB5l5jYPnjmLe0GSyK4Y2EXeZ82T+c2kMb+DjZw==" saltValue="TVxBr40+VrJ5v1Ee0Zt2t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0.30287646006677471</v>
      </c>
      <c r="D2" s="52">
        <f>IFERROR(1-_xlfn.NORM.DIST(_xlfn.NORM.INV(SUM(D4:D5), 0, 1) + 1, 0, 1, TRUE), "")</f>
        <v>0.30287646006677471</v>
      </c>
      <c r="E2" s="52">
        <f>IFERROR(1-_xlfn.NORM.DIST(_xlfn.NORM.INV(SUM(E4:E5), 0, 1) + 1, 0, 1, TRUE), "")</f>
        <v>0.26872002694585162</v>
      </c>
      <c r="F2" s="52">
        <f>IFERROR(1-_xlfn.NORM.DIST(_xlfn.NORM.INV(SUM(F4:F5), 0, 1) + 1, 0, 1, TRUE), "")</f>
        <v>0.15078539860395579</v>
      </c>
      <c r="G2" s="52">
        <f>IFERROR(1-_xlfn.NORM.DIST(_xlfn.NORM.INV(SUM(G4:G5), 0, 1) + 1, 0, 1, TRUE), "")</f>
        <v>0.16095224386090434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0.38287903864051948</v>
      </c>
      <c r="D3" s="52">
        <f>IFERROR(_xlfn.NORM.DIST(_xlfn.NORM.INV(SUM(D4:D5), 0, 1) + 1, 0, 1, TRUE) - SUM(D4:D5), "")</f>
        <v>0.38287903864051948</v>
      </c>
      <c r="E3" s="52">
        <f>IFERROR(_xlfn.NORM.DIST(_xlfn.NORM.INV(SUM(E4:E5), 0, 1) + 1, 0, 1, TRUE) - SUM(E4:E5), "")</f>
        <v>0.38053547974846536</v>
      </c>
      <c r="F3" s="52">
        <f>IFERROR(_xlfn.NORM.DIST(_xlfn.NORM.INV(SUM(F4:F5), 0, 1) + 1, 0, 1, TRUE) - SUM(F4:F5), "")</f>
        <v>0.33602369117589725</v>
      </c>
      <c r="G3" s="52">
        <f>IFERROR(_xlfn.NORM.DIST(_xlfn.NORM.INV(SUM(G4:G5), 0, 1) + 1, 0, 1, TRUE) - SUM(G4:G5), "")</f>
        <v>0.34281698996191867</v>
      </c>
    </row>
    <row r="4" spans="1:15" ht="15.75" customHeight="1" x14ac:dyDescent="0.2">
      <c r="B4" s="5" t="s">
        <v>114</v>
      </c>
      <c r="C4" s="45">
        <v>0.22817276418209101</v>
      </c>
      <c r="D4" s="53">
        <v>0.22817276418209101</v>
      </c>
      <c r="E4" s="53">
        <v>0.244585171341896</v>
      </c>
      <c r="F4" s="53">
        <v>0.30018362402915999</v>
      </c>
      <c r="G4" s="53">
        <v>0.31933081150054898</v>
      </c>
    </row>
    <row r="5" spans="1:15" ht="15.75" customHeight="1" x14ac:dyDescent="0.2">
      <c r="B5" s="5" t="s">
        <v>115</v>
      </c>
      <c r="C5" s="45">
        <v>8.607173711061479E-2</v>
      </c>
      <c r="D5" s="53">
        <v>8.607173711061479E-2</v>
      </c>
      <c r="E5" s="53">
        <v>0.106159321963787</v>
      </c>
      <c r="F5" s="53">
        <v>0.21300728619098699</v>
      </c>
      <c r="G5" s="53">
        <v>0.176899954676628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0.91001315464798438</v>
      </c>
      <c r="D8" s="52">
        <f>IFERROR(1-_xlfn.NORM.DIST(_xlfn.NORM.INV(SUM(D10:D11), 0, 1) + 1, 0, 1, TRUE), "")</f>
        <v>0.91001315464798438</v>
      </c>
      <c r="E8" s="52">
        <f>IFERROR(1-_xlfn.NORM.DIST(_xlfn.NORM.INV(SUM(E10:E11), 0, 1) + 1, 0, 1, TRUE), "")</f>
        <v>0.91472346747357502</v>
      </c>
      <c r="F8" s="52">
        <f>IFERROR(1-_xlfn.NORM.DIST(_xlfn.NORM.INV(SUM(F10:F11), 0, 1) + 1, 0, 1, TRUE), "")</f>
        <v>0.90238844267638019</v>
      </c>
      <c r="G8" s="52">
        <f>IFERROR(1-_xlfn.NORM.DIST(_xlfn.NORM.INV(SUM(G10:G11), 0, 1) + 1, 0, 1, TRUE), "")</f>
        <v>0.93550168919714294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8.0366538105792557E-2</v>
      </c>
      <c r="D9" s="52">
        <f>IFERROR(_xlfn.NORM.DIST(_xlfn.NORM.INV(SUM(D10:D11), 0, 1) + 1, 0, 1, TRUE) - SUM(D10:D11), "")</f>
        <v>8.0366538105792557E-2</v>
      </c>
      <c r="E9" s="52">
        <f>IFERROR(_xlfn.NORM.DIST(_xlfn.NORM.INV(SUM(E10:E11), 0, 1) + 1, 0, 1, TRUE) - SUM(E10:E11), "")</f>
        <v>7.6392801377753561E-2</v>
      </c>
      <c r="F9" s="52">
        <f>IFERROR(_xlfn.NORM.DIST(_xlfn.NORM.INV(SUM(F10:F11), 0, 1) + 1, 0, 1, TRUE) - SUM(F10:F11), "")</f>
        <v>8.6753060759877973E-2</v>
      </c>
      <c r="G9" s="52">
        <f>IFERROR(_xlfn.NORM.DIST(_xlfn.NORM.INV(SUM(G10:G11), 0, 1) + 1, 0, 1, TRUE) - SUM(G10:G11), "")</f>
        <v>5.859832618048285E-2</v>
      </c>
    </row>
    <row r="10" spans="1:15" ht="15.75" customHeight="1" x14ac:dyDescent="0.2">
      <c r="B10" s="5" t="s">
        <v>119</v>
      </c>
      <c r="C10" s="45">
        <v>7.3384791612625001E-3</v>
      </c>
      <c r="D10" s="53">
        <v>7.3384791612625001E-3</v>
      </c>
      <c r="E10" s="53">
        <v>8.3902142941951995E-3</v>
      </c>
      <c r="F10" s="53">
        <v>1.0378312319517099E-2</v>
      </c>
      <c r="G10" s="53">
        <v>4.1658380068839004E-3</v>
      </c>
    </row>
    <row r="11" spans="1:15" ht="15.75" customHeight="1" x14ac:dyDescent="0.2">
      <c r="B11" s="5" t="s">
        <v>120</v>
      </c>
      <c r="C11" s="45">
        <v>2.2818280849605998E-3</v>
      </c>
      <c r="D11" s="53">
        <v>2.2818280849605998E-3</v>
      </c>
      <c r="E11" s="53">
        <v>4.9351685447620002E-4</v>
      </c>
      <c r="F11" s="53">
        <v>4.8018424422479998E-4</v>
      </c>
      <c r="G11" s="53">
        <v>1.7341466154903E-3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0.66242282200000024</v>
      </c>
      <c r="D14" s="54">
        <v>0.62910825079199995</v>
      </c>
      <c r="E14" s="54">
        <v>0.62910825079199995</v>
      </c>
      <c r="F14" s="54">
        <v>0.35119943787399999</v>
      </c>
      <c r="G14" s="54">
        <v>0.35119943787399999</v>
      </c>
      <c r="H14" s="45">
        <v>0.25</v>
      </c>
      <c r="I14" s="55">
        <v>0.25</v>
      </c>
      <c r="J14" s="55">
        <v>0.25</v>
      </c>
      <c r="K14" s="55">
        <v>0.25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0.36478962384718017</v>
      </c>
      <c r="D15" s="52">
        <f t="shared" si="0"/>
        <v>0.34644362262864647</v>
      </c>
      <c r="E15" s="52">
        <f t="shared" si="0"/>
        <v>0.34644362262864647</v>
      </c>
      <c r="F15" s="52">
        <f t="shared" si="0"/>
        <v>0.19340201844283306</v>
      </c>
      <c r="G15" s="52">
        <f t="shared" si="0"/>
        <v>0.19340201844283306</v>
      </c>
      <c r="H15" s="52">
        <f t="shared" si="0"/>
        <v>0.1376725</v>
      </c>
      <c r="I15" s="52">
        <f t="shared" si="0"/>
        <v>0.1376725</v>
      </c>
      <c r="J15" s="52">
        <f t="shared" si="0"/>
        <v>0.1376725</v>
      </c>
      <c r="K15" s="52">
        <f t="shared" si="0"/>
        <v>0.1376725</v>
      </c>
      <c r="L15" s="52">
        <f t="shared" si="0"/>
        <v>8.7559709999999999E-2</v>
      </c>
      <c r="M15" s="52">
        <f t="shared" si="0"/>
        <v>8.7559709999999999E-2</v>
      </c>
      <c r="N15" s="52">
        <f t="shared" si="0"/>
        <v>8.7559709999999999E-2</v>
      </c>
      <c r="O15" s="52">
        <f t="shared" si="0"/>
        <v>8.7559709999999999E-2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UaIx30y4Jnca/tNMQcpFy9szHledpuGmS5YF6QswUbhdZ0NQmme60TVCCGlDPbSAzkGrZZDhw1xE7f2SP4NIQ==" saltValue="KoG63MeBEJNHdcOj0UzZ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0.63745838403701804</v>
      </c>
      <c r="D2" s="53">
        <v>0.51996969999999998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0.13529306650161699</v>
      </c>
      <c r="D3" s="53">
        <v>0.1694263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0.191281378269196</v>
      </c>
      <c r="D4" s="53">
        <v>0.25796720000000001</v>
      </c>
      <c r="E4" s="53">
        <v>0.90781038999557495</v>
      </c>
      <c r="F4" s="53">
        <v>0.72040623426437411</v>
      </c>
      <c r="G4" s="53">
        <v>0</v>
      </c>
    </row>
    <row r="5" spans="1:7" x14ac:dyDescent="0.2">
      <c r="B5" s="3" t="s">
        <v>132</v>
      </c>
      <c r="C5" s="52">
        <v>3.5967156291008003E-2</v>
      </c>
      <c r="D5" s="52">
        <v>5.26368170976639E-2</v>
      </c>
      <c r="E5" s="52">
        <f>1-SUM(E2:E4)</f>
        <v>9.2189610004425049E-2</v>
      </c>
      <c r="F5" s="52">
        <f>1-SUM(F2:F4)</f>
        <v>0.27959376573562589</v>
      </c>
      <c r="G5" s="52">
        <f>1-SUM(G2:G4)</f>
        <v>1</v>
      </c>
    </row>
  </sheetData>
  <sheetProtection algorithmName="SHA-512" hashValue="FgBMBupUsqYwYA9Vaen2qvWFu8+IsCo8hja2MIpq3Fx/OS8HPGfcH7aNodiehLoFG0cJid+P6ZyRq2rixbQEnA==" saltValue="yt0B3kq5ooXm+WM/iJfG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ePWLNd0aUOErGB6YAEzERnHXnPZArzSd3tjL+5XQ7BJFl1MQojJLaYhKwycZDUd8cJmcRnzScl9q8D1IS/TEA==" saltValue="974EjYnxAAloBEE7dZ/aL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izwGa9Zz4Gq1GRQ4J+V85mpk+6Ww/NWzG98eFTTU88sNpJHNSjMc3PVLEeUuPuzf5wn6EOjXhz00F4WyKubuow==" saltValue="ynfrSX6lKeiFavAkADZvk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VCvW07Vh6E2UXUHGdRxQnPMl9jCh9xFRzhf2R6siR+Nal6eCc5iB0vYA4EabZu1XN1nqFJqS1pbhWmEF4fuvDw==" saltValue="6vP4zFkHXAjt6wywjM43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qVJJN7821HeESZtLCSsPQ8W8jeEENoaqTkHPIfCDFoe/JNlzlAoAdgdVK+zoTlQfyD3cH3X0iOP8HnUr9rnnA==" saltValue="pJqHIag9yK2QHvUh/pSJC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2023-01-25T12:24:54Z</dcterms:modified>
</cp:coreProperties>
</file>