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24672E79-6D0A-48C2-9F4D-45C4FF683D41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H38" i="2"/>
  <c r="I38" i="2" s="1"/>
  <c r="G38" i="2"/>
  <c r="A16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H6" i="2"/>
  <c r="G6" i="2"/>
  <c r="H5" i="2"/>
  <c r="G5" i="2"/>
  <c r="H4" i="2"/>
  <c r="G4" i="2"/>
  <c r="I4" i="2" s="1"/>
  <c r="H3" i="2"/>
  <c r="G3" i="2"/>
  <c r="I3" i="2" s="1"/>
  <c r="A3" i="2"/>
  <c r="H2" i="2"/>
  <c r="G2" i="2"/>
  <c r="A2" i="2"/>
  <c r="A31" i="2" s="1"/>
  <c r="C33" i="1"/>
  <c r="C20" i="1"/>
  <c r="I2" i="2" l="1"/>
  <c r="I39" i="2"/>
  <c r="A17" i="2"/>
  <c r="I5" i="2"/>
  <c r="A19" i="2"/>
  <c r="A24" i="2"/>
  <c r="I6" i="2"/>
  <c r="A25" i="2"/>
  <c r="A27" i="2"/>
  <c r="A33" i="2"/>
  <c r="A32" i="2"/>
  <c r="I7" i="2"/>
  <c r="A35" i="2"/>
  <c r="A18" i="2"/>
  <c r="A26" i="2"/>
  <c r="A34" i="2"/>
  <c r="A39" i="2"/>
  <c r="A12" i="2"/>
  <c r="A28" i="2"/>
  <c r="D58" i="20"/>
  <c r="A4" i="2"/>
  <c r="A5" i="2" s="1"/>
  <c r="A6" i="2" s="1"/>
  <c r="A7" i="2" s="1"/>
  <c r="A8" i="2" s="1"/>
  <c r="A9" i="2" s="1"/>
  <c r="A10" i="2" s="1"/>
  <c r="A11" i="2" s="1"/>
  <c r="A20" i="2"/>
  <c r="A36" i="2"/>
  <c r="A21" i="2"/>
  <c r="A13" i="2"/>
  <c r="A29" i="2"/>
  <c r="A37" i="2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<sst xmlns="http://schemas.openxmlformats.org/spreadsheetml/2006/main" count="2092" uniqueCount="337">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</sst>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67362.75244140625</v>
      </c>
    </row>
    <row r="8" spans="1:3" ht="15" customHeight="1" x14ac:dyDescent="0.2">
      <c r="B8" s="5" t="s">
        <v>19</v>
      </c>
      <c r="C8" s="44">
        <v>2E-3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0.777842483520508</v>
      </c>
    </row>
    <row r="11" spans="1:3" ht="15" customHeight="1" x14ac:dyDescent="0.2">
      <c r="B11" s="5" t="s">
        <v>22</v>
      </c>
      <c r="C11" s="45">
        <v>0.95400000000000007</v>
      </c>
    </row>
    <row r="12" spans="1:3" ht="15" customHeight="1" x14ac:dyDescent="0.2">
      <c r="B12" s="5" t="s">
        <v>23</v>
      </c>
      <c r="C12" s="45">
        <v>0.79200000000000004</v>
      </c>
    </row>
    <row r="13" spans="1:3" ht="15" customHeight="1" x14ac:dyDescent="0.2">
      <c r="B13" s="5" t="s">
        <v>24</v>
      </c>
      <c r="C13" s="45">
        <v>0.39600000000000002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9.9900000000000003E-2</v>
      </c>
    </row>
    <row r="24" spans="1:3" ht="15" customHeight="1" x14ac:dyDescent="0.2">
      <c r="B24" s="15" t="s">
        <v>33</v>
      </c>
      <c r="C24" s="45">
        <v>0.6048</v>
      </c>
    </row>
    <row r="25" spans="1:3" ht="15" customHeight="1" x14ac:dyDescent="0.2">
      <c r="B25" s="15" t="s">
        <v>34</v>
      </c>
      <c r="C25" s="45">
        <v>0.27869999999999989</v>
      </c>
    </row>
    <row r="26" spans="1:3" ht="15" customHeight="1" x14ac:dyDescent="0.2">
      <c r="B26" s="15" t="s">
        <v>35</v>
      </c>
      <c r="C26" s="45">
        <v>1.66E-2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0.35675533525383901</v>
      </c>
    </row>
    <row r="30" spans="1:3" ht="14.25" customHeight="1" x14ac:dyDescent="0.2">
      <c r="B30" s="25" t="s">
        <v>38</v>
      </c>
      <c r="C30" s="99">
        <v>6.5910586704521698E-2</v>
      </c>
    </row>
    <row r="31" spans="1:3" ht="14.25" customHeight="1" x14ac:dyDescent="0.2">
      <c r="B31" s="25" t="s">
        <v>39</v>
      </c>
      <c r="C31" s="99">
        <v>9.262041217609189E-2</v>
      </c>
    </row>
    <row r="32" spans="1:3" ht="14.25" customHeight="1" x14ac:dyDescent="0.2">
      <c r="B32" s="25" t="s">
        <v>40</v>
      </c>
      <c r="C32" s="99">
        <v>0.48471366586554798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10.1883111614382</v>
      </c>
    </row>
    <row r="38" spans="1:5" ht="15" customHeight="1" x14ac:dyDescent="0.2">
      <c r="B38" s="11" t="s">
        <v>45</v>
      </c>
      <c r="C38" s="43">
        <v>14.269959103193401</v>
      </c>
      <c r="D38" s="12"/>
      <c r="E38" s="13"/>
    </row>
    <row r="39" spans="1:5" ht="15" customHeight="1" x14ac:dyDescent="0.2">
      <c r="B39" s="11" t="s">
        <v>46</v>
      </c>
      <c r="C39" s="43">
        <v>16.0094232560321</v>
      </c>
      <c r="D39" s="12"/>
      <c r="E39" s="12"/>
    </row>
    <row r="40" spans="1:5" ht="15" customHeight="1" x14ac:dyDescent="0.2">
      <c r="B40" s="11" t="s">
        <v>47</v>
      </c>
      <c r="C40" s="100">
        <v>0.61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10.286326170000001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2.03143E-2</v>
      </c>
      <c r="D45" s="12"/>
    </row>
    <row r="46" spans="1:5" ht="15.75" customHeight="1" x14ac:dyDescent="0.2">
      <c r="B46" s="11" t="s">
        <v>52</v>
      </c>
      <c r="C46" s="45">
        <v>0.10530630000000001</v>
      </c>
      <c r="D46" s="12"/>
    </row>
    <row r="47" spans="1:5" ht="15.75" customHeight="1" x14ac:dyDescent="0.2">
      <c r="B47" s="11" t="s">
        <v>53</v>
      </c>
      <c r="C47" s="45">
        <v>0.18411469999999999</v>
      </c>
      <c r="D47" s="12"/>
      <c r="E47" s="13"/>
    </row>
    <row r="48" spans="1:5" ht="15" customHeight="1" x14ac:dyDescent="0.2">
      <c r="B48" s="11" t="s">
        <v>54</v>
      </c>
      <c r="C48" s="46">
        <v>0.69026470000000006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0.55043399999999998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5.0010632999999999E-2</v>
      </c>
    </row>
    <row r="63" spans="1:4" ht="15.75" customHeight="1" x14ac:dyDescent="0.2">
      <c r="A63" s="4"/>
    </row>
  </sheetData>
  <sheetProtection algorithmName="SHA-512" hashValue="lFgYD1TCbOnXQPO1+ETuirEiTuyEcS+4LXTtAU19op55ieGo6jNwv+zA+C83zVPWpScN4PoB6sPub4xp5O9I2g==" saltValue="GOI5ZsVEqrIsnEATBw3oc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</v>
      </c>
      <c r="C2" s="98">
        <v>0.95</v>
      </c>
      <c r="D2" s="56">
        <v>43.717396986078107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44.834077734861673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190.0226088131827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5.4048141617554819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14.35913960398203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14.35913960398203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14.35913960398203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14.35913960398203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14.35913960398203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14.35913960398203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0.41542488627073471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4.4482358424844612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4.4482358424844612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0.9840000000000001</v>
      </c>
      <c r="C21" s="98">
        <v>0.95</v>
      </c>
      <c r="D21" s="56">
        <v>56.625848696237107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24.569538152769219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4.7648286502090178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0.24873453600000001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</v>
      </c>
      <c r="C27" s="98">
        <v>0.95</v>
      </c>
      <c r="D27" s="56">
        <v>20.68706504341953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0.95504837712201096</v>
      </c>
      <c r="C29" s="98">
        <v>0.95</v>
      </c>
      <c r="D29" s="56">
        <v>80.983006519796163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0.43586457689828911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</v>
      </c>
      <c r="C32" s="98">
        <v>0.95</v>
      </c>
      <c r="D32" s="56">
        <v>0.85083653245513768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2.6133364444192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M7X7FgHDAWmLUlIK511kRXIivbcBkhs++SdhrGi+arKGPkfgkB+cP46jWEP/q4yH7G9hgRBbr7e+uzyjO3waow==" saltValue="NIfc2dqAM91UJ8+fow1a/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Dc0fttuygn2OpgjNiHfKq/G/55LoA1xMQThWRWocUmGYG4VQZQi9X1Fe/avu/mNssX9h3p4pDAMCKVqr0JWkQw==" saltValue="JoUrvI2eclScOoTQF93Xy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eijgwC9+lhstxs5IrEOrYyl/iCOm0pzdUt5A/9zBZKkYm/ld4dY8M16h/PEydQR0QG7QTHOeIURmuf5JmK8FlA==" saltValue="1U3Wh+woVfuOWg3q1n1lx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0.16152697743265385</v>
      </c>
      <c r="C3" s="21">
        <f>frac_mam_1_5months * 2.6</f>
        <v>0.16152697743265385</v>
      </c>
      <c r="D3" s="21">
        <f>frac_mam_6_11months * 2.6</f>
        <v>0.19540884722875257</v>
      </c>
      <c r="E3" s="21">
        <f>frac_mam_12_23months * 2.6</f>
        <v>0.16192772409020947</v>
      </c>
      <c r="F3" s="21">
        <f>frac_mam_24_59months * 2.6</f>
        <v>8.8786553383986375E-2</v>
      </c>
    </row>
    <row r="4" spans="1:6" ht="15.75" customHeight="1" x14ac:dyDescent="0.2">
      <c r="A4" s="3" t="s">
        <v>208</v>
      </c>
      <c r="B4" s="21">
        <f>frac_sam_1month * 2.6</f>
        <v>0.11818829663407546</v>
      </c>
      <c r="C4" s="21">
        <f>frac_sam_1_5months * 2.6</f>
        <v>0.11818829663407546</v>
      </c>
      <c r="D4" s="21">
        <f>frac_sam_6_11months * 2.6</f>
        <v>0.11117918416731309</v>
      </c>
      <c r="E4" s="21">
        <f>frac_sam_12_23months * 2.6</f>
        <v>8.3837167174186142E-2</v>
      </c>
      <c r="F4" s="21">
        <f>frac_sam_24_59months * 2.6</f>
        <v>4.7825773302257339E-2</v>
      </c>
    </row>
  </sheetData>
  <sheetProtection algorithmName="SHA-512" hashValue="IXBOWLHgmeWHnHOPb9sDizYFvsDbfvS14l4GXkoK3EXEWk5sdhVYM8NwHNjiFw/teiqnF2dxxYoK7syvMrDvrQ==" saltValue="TOQogGGEhTAxFXVmoDcof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2E-3</v>
      </c>
      <c r="E2" s="60">
        <f>food_insecure</f>
        <v>2E-3</v>
      </c>
      <c r="F2" s="60">
        <f>food_insecure</f>
        <v>2E-3</v>
      </c>
      <c r="G2" s="60">
        <f>food_insecure</f>
        <v>2E-3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2E-3</v>
      </c>
      <c r="F5" s="60">
        <f>food_insecure</f>
        <v>2E-3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2E-3</v>
      </c>
      <c r="F8" s="60">
        <f>food_insecure</f>
        <v>2E-3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2E-3</v>
      </c>
      <c r="F9" s="60">
        <f>food_insecure</f>
        <v>2E-3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0.79200000000000004</v>
      </c>
      <c r="E10" s="60">
        <f>IF(ISBLANK(comm_deliv), frac_children_health_facility,1)</f>
        <v>0.79200000000000004</v>
      </c>
      <c r="F10" s="60">
        <f>IF(ISBLANK(comm_deliv), frac_children_health_facility,1)</f>
        <v>0.79200000000000004</v>
      </c>
      <c r="G10" s="60">
        <f>IF(ISBLANK(comm_deliv), frac_children_health_facility,1)</f>
        <v>0.79200000000000004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2E-3</v>
      </c>
      <c r="I15" s="60">
        <f>food_insecure</f>
        <v>2E-3</v>
      </c>
      <c r="J15" s="60">
        <f>food_insecure</f>
        <v>2E-3</v>
      </c>
      <c r="K15" s="60">
        <f>food_insecure</f>
        <v>2E-3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0.95400000000000007</v>
      </c>
      <c r="I18" s="60">
        <f>frac_PW_health_facility</f>
        <v>0.95400000000000007</v>
      </c>
      <c r="J18" s="60">
        <f>frac_PW_health_facility</f>
        <v>0.95400000000000007</v>
      </c>
      <c r="K18" s="60">
        <f>frac_PW_health_facility</f>
        <v>0.95400000000000007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0.39600000000000002</v>
      </c>
      <c r="M24" s="60">
        <f>famplan_unmet_need</f>
        <v>0.39600000000000002</v>
      </c>
      <c r="N24" s="60">
        <f>famplan_unmet_need</f>
        <v>0.39600000000000002</v>
      </c>
      <c r="O24" s="60">
        <f>famplan_unmet_need</f>
        <v>0.39600000000000002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0.10895048923187248</v>
      </c>
      <c r="M25" s="60">
        <f>(1-food_insecure)*(0.49)+food_insecure*(0.7)</f>
        <v>0.49042000000000002</v>
      </c>
      <c r="N25" s="60">
        <f>(1-food_insecure)*(0.49)+food_insecure*(0.7)</f>
        <v>0.49042000000000002</v>
      </c>
      <c r="O25" s="60">
        <f>(1-food_insecure)*(0.49)+food_insecure*(0.7)</f>
        <v>0.49042000000000002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4.6693066813659624E-2</v>
      </c>
      <c r="M26" s="60">
        <f>(1-food_insecure)*(0.21)+food_insecure*(0.3)</f>
        <v>0.21017999999999998</v>
      </c>
      <c r="N26" s="60">
        <f>(1-food_insecure)*(0.21)+food_insecure*(0.3)</f>
        <v>0.21017999999999998</v>
      </c>
      <c r="O26" s="60">
        <f>(1-food_insecure)*(0.21)+food_insecure*(0.3)</f>
        <v>0.21017999999999998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6.6513960433959907E-2</v>
      </c>
      <c r="M27" s="60">
        <f>(1-food_insecure)*(0.3)</f>
        <v>0.2994</v>
      </c>
      <c r="N27" s="60">
        <f>(1-food_insecure)*(0.3)</f>
        <v>0.2994</v>
      </c>
      <c r="O27" s="60">
        <f>(1-food_insecure)*(0.3)</f>
        <v>0.2994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0.777842483520508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zm0V+VxvKJbheN0mMIaJ6VOdSO5yEeu678ivf6iEIU+l997USJaOVa/QwZHnLPXTDRs/gHGrcJpCXadzKojwJA==" saltValue="b/tgQnFe/lL7bVWwlrNg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2k8ZI3iS37ocDCTvVKTzXnhkqTs/oWYpUFynhmetCMt7954n3oPu4dInDYAaK9AijPG6tpN2x8taWbyIEMjLpQ==" saltValue="rvY1gb31IqYsBKvrlgTwQ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80zdupUFEMCjgby/t2RNm8ODGI0Uj7mJCZ180aDBw5LLmqqCiUzhX1UySoAbZUnkK1WYXUDY+UHWyZpjx6zIeg==" saltValue="xC+th3hntJq9amcwsSOLo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nX/fO8OMVMn8qUnXquR2ymJHC1S7AFv14ycbExicegLRM69mz9ny5aY+q5HXFbNWMX8jtZs50JAYxncpiNXzTg==" saltValue="6fatdTj/qvQhFpBSgmWno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JOLA1eygtOr04PI2rJ48qX9objCOBuave9didAC/Dhn3WPkIj12rNldwQg/nr7FmubqxCyUxENX6UCW79eFa9Q==" saltValue="/G9a+6szlHlyD/ztn/OiN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0dGg/B0qp6xSqyghc1yAEdWg/JH6/ehBIj/lhXRw+vGyVnmLUPIjV59Y81eYTUDBfNNRavRbsLZbSCaEBVQjtQ==" saltValue="bzTv+O2pPPXFqqJ7eaB9l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32435.5416</v>
      </c>
      <c r="C2" s="49">
        <v>84000</v>
      </c>
      <c r="D2" s="49">
        <v>229000</v>
      </c>
      <c r="E2" s="49">
        <v>338000</v>
      </c>
      <c r="F2" s="49">
        <v>255000</v>
      </c>
      <c r="G2" s="17">
        <f t="shared" ref="G2:G11" si="0">C2+D2+E2+F2</f>
        <v>906000</v>
      </c>
      <c r="H2" s="17">
        <f t="shared" ref="H2:H11" si="1">(B2 + stillbirth*B2/(1000-stillbirth))/(1-abortion)</f>
        <v>37241.649756504303</v>
      </c>
      <c r="I2" s="17">
        <f t="shared" ref="I2:I11" si="2">G2-H2</f>
        <v>868758.35024349566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31678.700400000002</v>
      </c>
      <c r="C3" s="50">
        <v>85000</v>
      </c>
      <c r="D3" s="50">
        <v>216000</v>
      </c>
      <c r="E3" s="50">
        <v>338000</v>
      </c>
      <c r="F3" s="50">
        <v>260000</v>
      </c>
      <c r="G3" s="17">
        <f t="shared" si="0"/>
        <v>899000</v>
      </c>
      <c r="H3" s="17">
        <f t="shared" si="1"/>
        <v>36372.664270173089</v>
      </c>
      <c r="I3" s="17">
        <f t="shared" si="2"/>
        <v>862627.33572982694</v>
      </c>
    </row>
    <row r="4" spans="1:9" ht="15.75" customHeight="1" x14ac:dyDescent="0.2">
      <c r="A4" s="5">
        <f t="shared" si="3"/>
        <v>2023</v>
      </c>
      <c r="B4" s="49">
        <v>30926.596399999999</v>
      </c>
      <c r="C4" s="50">
        <v>87000</v>
      </c>
      <c r="D4" s="50">
        <v>204000</v>
      </c>
      <c r="E4" s="50">
        <v>336000</v>
      </c>
      <c r="F4" s="50">
        <v>267000</v>
      </c>
      <c r="G4" s="17">
        <f t="shared" si="0"/>
        <v>894000</v>
      </c>
      <c r="H4" s="17">
        <f t="shared" si="1"/>
        <v>35509.117914330331</v>
      </c>
      <c r="I4" s="17">
        <f t="shared" si="2"/>
        <v>858490.88208566967</v>
      </c>
    </row>
    <row r="5" spans="1:9" ht="15.75" customHeight="1" x14ac:dyDescent="0.2">
      <c r="A5" s="5">
        <f t="shared" si="3"/>
        <v>2024</v>
      </c>
      <c r="B5" s="49">
        <v>30170.527399999999</v>
      </c>
      <c r="C5" s="50">
        <v>89000</v>
      </c>
      <c r="D5" s="50">
        <v>194000</v>
      </c>
      <c r="E5" s="50">
        <v>330000</v>
      </c>
      <c r="F5" s="50">
        <v>274000</v>
      </c>
      <c r="G5" s="17">
        <f t="shared" si="0"/>
        <v>887000</v>
      </c>
      <c r="H5" s="17">
        <f t="shared" si="1"/>
        <v>34641.019048062277</v>
      </c>
      <c r="I5" s="17">
        <f t="shared" si="2"/>
        <v>852358.98095193773</v>
      </c>
    </row>
    <row r="6" spans="1:9" ht="15.75" customHeight="1" x14ac:dyDescent="0.2">
      <c r="A6" s="5">
        <f t="shared" si="3"/>
        <v>2025</v>
      </c>
      <c r="B6" s="49">
        <v>29411.040000000001</v>
      </c>
      <c r="C6" s="50">
        <v>90000</v>
      </c>
      <c r="D6" s="50">
        <v>185000</v>
      </c>
      <c r="E6" s="50">
        <v>322000</v>
      </c>
      <c r="F6" s="50">
        <v>282000</v>
      </c>
      <c r="G6" s="17">
        <f t="shared" si="0"/>
        <v>879000</v>
      </c>
      <c r="H6" s="17">
        <f t="shared" si="1"/>
        <v>33768.995263348348</v>
      </c>
      <c r="I6" s="17">
        <f t="shared" si="2"/>
        <v>845231.00473665167</v>
      </c>
    </row>
    <row r="7" spans="1:9" ht="15.75" customHeight="1" x14ac:dyDescent="0.2">
      <c r="A7" s="5">
        <f t="shared" si="3"/>
        <v>2026</v>
      </c>
      <c r="B7" s="49">
        <v>28891.2624</v>
      </c>
      <c r="C7" s="50">
        <v>92000</v>
      </c>
      <c r="D7" s="50">
        <v>179000</v>
      </c>
      <c r="E7" s="50">
        <v>308000</v>
      </c>
      <c r="F7" s="50">
        <v>292000</v>
      </c>
      <c r="G7" s="17">
        <f t="shared" si="0"/>
        <v>871000</v>
      </c>
      <c r="H7" s="17">
        <f t="shared" si="1"/>
        <v>33172.200069693361</v>
      </c>
      <c r="I7" s="17">
        <f t="shared" si="2"/>
        <v>837827.79993030662</v>
      </c>
    </row>
    <row r="8" spans="1:9" ht="15.75" customHeight="1" x14ac:dyDescent="0.2">
      <c r="A8" s="5">
        <f t="shared" si="3"/>
        <v>2027</v>
      </c>
      <c r="B8" s="49">
        <v>28366.7592</v>
      </c>
      <c r="C8" s="50">
        <v>93000</v>
      </c>
      <c r="D8" s="50">
        <v>175000</v>
      </c>
      <c r="E8" s="50">
        <v>293000</v>
      </c>
      <c r="F8" s="50">
        <v>302000</v>
      </c>
      <c r="G8" s="17">
        <f t="shared" si="0"/>
        <v>863000</v>
      </c>
      <c r="H8" s="17">
        <f t="shared" si="1"/>
        <v>32569.979064369818</v>
      </c>
      <c r="I8" s="17">
        <f t="shared" si="2"/>
        <v>830430.02093563019</v>
      </c>
    </row>
    <row r="9" spans="1:9" ht="15.75" customHeight="1" x14ac:dyDescent="0.2">
      <c r="A9" s="5">
        <f t="shared" si="3"/>
        <v>2028</v>
      </c>
      <c r="B9" s="49">
        <v>27846.050400000011</v>
      </c>
      <c r="C9" s="50">
        <v>93000</v>
      </c>
      <c r="D9" s="50">
        <v>173000</v>
      </c>
      <c r="E9" s="50">
        <v>275000</v>
      </c>
      <c r="F9" s="50">
        <v>313000</v>
      </c>
      <c r="G9" s="17">
        <f t="shared" si="0"/>
        <v>854000</v>
      </c>
      <c r="H9" s="17">
        <f t="shared" si="1"/>
        <v>31972.114690965016</v>
      </c>
      <c r="I9" s="17">
        <f t="shared" si="2"/>
        <v>822027.88530903496</v>
      </c>
    </row>
    <row r="10" spans="1:9" ht="15.75" customHeight="1" x14ac:dyDescent="0.2">
      <c r="A10" s="5">
        <f t="shared" si="3"/>
        <v>2029</v>
      </c>
      <c r="B10" s="49">
        <v>27312.98880000001</v>
      </c>
      <c r="C10" s="50">
        <v>93000</v>
      </c>
      <c r="D10" s="50">
        <v>171000</v>
      </c>
      <c r="E10" s="50">
        <v>257000</v>
      </c>
      <c r="F10" s="50">
        <v>322000</v>
      </c>
      <c r="G10" s="17">
        <f t="shared" si="0"/>
        <v>843000</v>
      </c>
      <c r="H10" s="17">
        <f t="shared" si="1"/>
        <v>31360.067152167583</v>
      </c>
      <c r="I10" s="17">
        <f t="shared" si="2"/>
        <v>811639.93284783245</v>
      </c>
    </row>
    <row r="11" spans="1:9" ht="15.75" customHeight="1" x14ac:dyDescent="0.2">
      <c r="A11" s="5">
        <f t="shared" si="3"/>
        <v>2030</v>
      </c>
      <c r="B11" s="49">
        <v>26776.205999999998</v>
      </c>
      <c r="C11" s="50">
        <v>92000</v>
      </c>
      <c r="D11" s="50">
        <v>171000</v>
      </c>
      <c r="E11" s="50">
        <v>240000</v>
      </c>
      <c r="F11" s="50">
        <v>328000</v>
      </c>
      <c r="G11" s="17">
        <f t="shared" si="0"/>
        <v>831000</v>
      </c>
      <c r="H11" s="17">
        <f t="shared" si="1"/>
        <v>30743.747027797712</v>
      </c>
      <c r="I11" s="17">
        <f t="shared" si="2"/>
        <v>800256.25297220226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oJGrY4HPZPtmzETMkmoXaGzfYpBZBD2J76OE2ks1B01cirWhSHMLQom0YaRFqahcFJ780zetCd5NhcslVhEtFg==" saltValue="5wlVqTI9TdtuoGybQLd90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IvgsGAuBAQYPoCGoYAlGWH+ghKrPiloIQ2JHUxLWRB8uTLCKdCuxuDTNsFlEbBxan0AcD1JTxrn0MlLosSYAuA==" saltValue="aZj6wIFvQ1nHYj4slw9SF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QMVur/rmX+eo/N44J/AZb47C91DG1+xcm08gLHCka3hmOMuRIQv75sX59Adh6KtyjQa1zeXSv8+vzIdTGv9h8A==" saltValue="/CVT8U5ZX8T6x9ydetGbw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lCNIpSA0YbRaFRQq7YZTWDvQeKe2DbSjMl6S4hvgs80fSAJLIRGC3nrjIUw8J2JHGAHLuRgCl8JIK1gUmX+LCA==" saltValue="Zy+YBevObqSeGrhU2PpQ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G/WTXPEQg/D8r150Gfhu1PsuMhpVvOsKTFYeQnRQuDz7ZK1xfF4dG0qSA8Lre/KxLpxDaxaahZr8pSmk6Nh8Mw==" saltValue="vimXB2vsszLioEDKxdWIl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96ktrJ/vDxWwfqUBKPdyZAYuyqYajGzzS0K6jJ37i3xqTcJE8Z8XImzVCBMU/EzgRmD1xSWV2x3lx8ldzLPCsg==" saltValue="5liaDo19gtGYQ/EgObcox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KyjgV8wSPTimdxfb3Naq+lDBrVJLGfE4RIJmwt38WRcNcCGbGNKtAxFN7vJazSm4YXxTT8SwZjonpSmZoxAYOg==" saltValue="KNrKgwE6PMfntsu3BcpqK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wIT9VQQrjeB4BUg9yV+bOSEYnWOtz33y/Xx+YJg2q0SRAnS5sE9Oq/EnA/H3NWzVcpfY9fXY+JnoOSvC/u5LwQ==" saltValue="XJ/EHHivTqaJZZpe73HYy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i+mZPu4G5xVH+fHU+Oa4MOv+nQspcwvyqWF6JbYU0gBKQzRjc7YEt/2hnQyibc0T22Eft8H1Ef+15zVrZfl9Qw==" saltValue="k4yKdAMwBa3jjkqCcT0V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hw6erdDYDU2oCsAkASIYGVfQJoawWEcz/56hmFQppzGnDlR7+jEe7qN0QmhYt8Onsq41OjnOw3sCLKy1elYRg==" saltValue="UHrxKxX4kCslFzWsjlnmq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0.15957447432679839</v>
      </c>
    </row>
    <row r="5" spans="1:8" ht="15.75" customHeight="1" x14ac:dyDescent="0.2">
      <c r="B5" s="19" t="s">
        <v>80</v>
      </c>
      <c r="C5" s="101">
        <v>3.1914893049169141E-2</v>
      </c>
    </row>
    <row r="6" spans="1:8" ht="15.75" customHeight="1" x14ac:dyDescent="0.2">
      <c r="B6" s="19" t="s">
        <v>81</v>
      </c>
      <c r="C6" s="101">
        <v>0.14893617362247261</v>
      </c>
    </row>
    <row r="7" spans="1:8" ht="15.75" customHeight="1" x14ac:dyDescent="0.2">
      <c r="B7" s="19" t="s">
        <v>82</v>
      </c>
      <c r="C7" s="101">
        <v>0.34042551374796293</v>
      </c>
    </row>
    <row r="8" spans="1:8" ht="15.75" customHeight="1" x14ac:dyDescent="0.2">
      <c r="B8" s="19" t="s">
        <v>83</v>
      </c>
      <c r="C8" s="101">
        <v>0</v>
      </c>
    </row>
    <row r="9" spans="1:8" ht="15.75" customHeight="1" x14ac:dyDescent="0.2">
      <c r="B9" s="19" t="s">
        <v>84</v>
      </c>
      <c r="C9" s="101">
        <v>0.2127659597150966</v>
      </c>
    </row>
    <row r="10" spans="1:8" ht="15.75" customHeight="1" x14ac:dyDescent="0.2">
      <c r="B10" s="19" t="s">
        <v>85</v>
      </c>
      <c r="C10" s="101">
        <v>0.1063829855385004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</v>
      </c>
      <c r="D14" s="55">
        <v>0</v>
      </c>
      <c r="E14" s="55">
        <v>0</v>
      </c>
      <c r="F14" s="55">
        <v>0</v>
      </c>
    </row>
    <row r="15" spans="1:8" ht="15.75" customHeight="1" x14ac:dyDescent="0.2">
      <c r="B15" s="19" t="s">
        <v>88</v>
      </c>
      <c r="C15" s="101">
        <v>0.1889750408023349</v>
      </c>
      <c r="D15" s="101">
        <v>0.1889750408023349</v>
      </c>
      <c r="E15" s="101">
        <v>0.1889750408023349</v>
      </c>
      <c r="F15" s="101">
        <v>0.1889750408023349</v>
      </c>
    </row>
    <row r="16" spans="1:8" ht="15.75" customHeight="1" x14ac:dyDescent="0.2">
      <c r="B16" s="19" t="s">
        <v>89</v>
      </c>
      <c r="C16" s="101">
        <v>3.4476422077637611E-2</v>
      </c>
      <c r="D16" s="101">
        <v>3.4476422077637611E-2</v>
      </c>
      <c r="E16" s="101">
        <v>3.4476422077637611E-2</v>
      </c>
      <c r="F16" s="101">
        <v>3.4476422077637611E-2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93</v>
      </c>
      <c r="C20" s="101">
        <v>8.4006428496188765E-2</v>
      </c>
      <c r="D20" s="101">
        <v>8.4006428496188765E-2</v>
      </c>
      <c r="E20" s="101">
        <v>8.4006428496188765E-2</v>
      </c>
      <c r="F20" s="101">
        <v>8.4006428496188765E-2</v>
      </c>
    </row>
    <row r="21" spans="1:8" ht="15.75" customHeight="1" x14ac:dyDescent="0.2">
      <c r="B21" s="19" t="s">
        <v>94</v>
      </c>
      <c r="C21" s="101">
        <v>0.1046849790861334</v>
      </c>
      <c r="D21" s="101">
        <v>0.1046849790861334</v>
      </c>
      <c r="E21" s="101">
        <v>0.1046849790861334</v>
      </c>
      <c r="F21" s="101">
        <v>0.1046849790861334</v>
      </c>
    </row>
    <row r="22" spans="1:8" ht="15.75" customHeight="1" x14ac:dyDescent="0.2">
      <c r="B22" s="19" t="s">
        <v>95</v>
      </c>
      <c r="C22" s="101">
        <v>0.58785712953770541</v>
      </c>
      <c r="D22" s="101">
        <v>0.58785712953770541</v>
      </c>
      <c r="E22" s="101">
        <v>0.58785712953770541</v>
      </c>
      <c r="F22" s="101">
        <v>0.58785712953770541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6.3877289000000004E-2</v>
      </c>
    </row>
    <row r="27" spans="1:8" ht="15.75" customHeight="1" x14ac:dyDescent="0.2">
      <c r="B27" s="19" t="s">
        <v>102</v>
      </c>
      <c r="C27" s="101">
        <v>0.18947355599999999</v>
      </c>
    </row>
    <row r="28" spans="1:8" ht="15.75" customHeight="1" x14ac:dyDescent="0.2">
      <c r="B28" s="19" t="s">
        <v>103</v>
      </c>
      <c r="C28" s="101">
        <v>0.10579783700000001</v>
      </c>
    </row>
    <row r="29" spans="1:8" ht="15.75" customHeight="1" x14ac:dyDescent="0.2">
      <c r="B29" s="19" t="s">
        <v>104</v>
      </c>
      <c r="C29" s="101">
        <v>0.116400988</v>
      </c>
    </row>
    <row r="30" spans="1:8" ht="15.75" customHeight="1" x14ac:dyDescent="0.2">
      <c r="B30" s="19" t="s">
        <v>2</v>
      </c>
      <c r="C30" s="101">
        <v>5.2355714999999997E-2</v>
      </c>
    </row>
    <row r="31" spans="1:8" ht="15.75" customHeight="1" x14ac:dyDescent="0.2">
      <c r="B31" s="19" t="s">
        <v>105</v>
      </c>
      <c r="C31" s="101">
        <v>0.15858112799999999</v>
      </c>
    </row>
    <row r="32" spans="1:8" ht="15.75" customHeight="1" x14ac:dyDescent="0.2">
      <c r="B32" s="19" t="s">
        <v>106</v>
      </c>
      <c r="C32" s="101">
        <v>7.0649206000000006E-2</v>
      </c>
    </row>
    <row r="33" spans="2:3" ht="15.75" customHeight="1" x14ac:dyDescent="0.2">
      <c r="B33" s="19" t="s">
        <v>107</v>
      </c>
      <c r="C33" s="101">
        <v>0.120208732</v>
      </c>
    </row>
    <row r="34" spans="2:3" ht="15.75" customHeight="1" x14ac:dyDescent="0.2">
      <c r="B34" s="19" t="s">
        <v>108</v>
      </c>
      <c r="C34" s="101">
        <v>0.122655549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pwOl7RHgYPa0WNM5SC2lPlC1OsTe7yBGUmVa4QidYFm0BWPqhWlktd+/87b+f8ytwjuArUr+/f94Hyb2yffFeQ==" saltValue="Ino2rg67+N3J8+qjQdbwh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0.44271398086223201</v>
      </c>
      <c r="D2" s="52">
        <f>IFERROR(1-_xlfn.NORM.DIST(_xlfn.NORM.INV(SUM(D4:D5), 0, 1) + 1, 0, 1, TRUE), "")</f>
        <v>0.44271398086223201</v>
      </c>
      <c r="E2" s="52">
        <f>IFERROR(1-_xlfn.NORM.DIST(_xlfn.NORM.INV(SUM(E4:E5), 0, 1) + 1, 0, 1, TRUE), "")</f>
        <v>0.34328145737735127</v>
      </c>
      <c r="F2" s="52">
        <f>IFERROR(1-_xlfn.NORM.DIST(_xlfn.NORM.INV(SUM(F4:F5), 0, 1) + 1, 0, 1, TRUE), "")</f>
        <v>0.17237054586040745</v>
      </c>
      <c r="G2" s="52">
        <f>IFERROR(1-_xlfn.NORM.DIST(_xlfn.NORM.INV(SUM(G4:G5), 0, 1) + 1, 0, 1, TRUE), "")</f>
        <v>0.16113967161260878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0.3612617333455781</v>
      </c>
      <c r="D3" s="52">
        <f>IFERROR(_xlfn.NORM.DIST(_xlfn.NORM.INV(SUM(D4:D5), 0, 1) + 1, 0, 1, TRUE) - SUM(D4:D5), "")</f>
        <v>0.3612617333455781</v>
      </c>
      <c r="E3" s="52">
        <f>IFERROR(_xlfn.NORM.DIST(_xlfn.NORM.INV(SUM(E4:E5), 0, 1) + 1, 0, 1, TRUE) - SUM(E4:E5), "")</f>
        <v>0.3812899614359907</v>
      </c>
      <c r="F3" s="52">
        <f>IFERROR(_xlfn.NORM.DIST(_xlfn.NORM.INV(SUM(F4:F5), 0, 1) + 1, 0, 1, TRUE) - SUM(F4:F5), "")</f>
        <v>0.34962436547079156</v>
      </c>
      <c r="G3" s="52">
        <f>IFERROR(_xlfn.NORM.DIST(_xlfn.NORM.INV(SUM(G4:G5), 0, 1) + 1, 0, 1, TRUE) - SUM(G4:G5), "")</f>
        <v>0.34293555504640627</v>
      </c>
    </row>
    <row r="4" spans="1:15" ht="15.75" customHeight="1" x14ac:dyDescent="0.2">
      <c r="B4" s="5" t="s">
        <v>114</v>
      </c>
      <c r="C4" s="45">
        <v>0.112322704963234</v>
      </c>
      <c r="D4" s="53">
        <v>0.112322704963234</v>
      </c>
      <c r="E4" s="53">
        <v>0.166080500946093</v>
      </c>
      <c r="F4" s="53">
        <v>0.25655427004518899</v>
      </c>
      <c r="G4" s="53">
        <v>0.26512859806654798</v>
      </c>
    </row>
    <row r="5" spans="1:15" ht="15.75" customHeight="1" x14ac:dyDescent="0.2">
      <c r="B5" s="5" t="s">
        <v>115</v>
      </c>
      <c r="C5" s="45">
        <v>8.3701580828955902E-2</v>
      </c>
      <c r="D5" s="53">
        <v>8.3701580828955902E-2</v>
      </c>
      <c r="E5" s="53">
        <v>0.109348080240565</v>
      </c>
      <c r="F5" s="53">
        <v>0.22145081862361199</v>
      </c>
      <c r="G5" s="53">
        <v>0.23079617527443699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0.59463559811179068</v>
      </c>
      <c r="D8" s="52">
        <f>IFERROR(1-_xlfn.NORM.DIST(_xlfn.NORM.INV(SUM(D10:D11), 0, 1) + 1, 0, 1, TRUE), "")</f>
        <v>0.59463559811179068</v>
      </c>
      <c r="E8" s="52">
        <f>IFERROR(1-_xlfn.NORM.DIST(_xlfn.NORM.INV(SUM(E10:E11), 0, 1) + 1, 0, 1, TRUE), "")</f>
        <v>0.57356455818407126</v>
      </c>
      <c r="F8" s="52">
        <f>IFERROR(1-_xlfn.NORM.DIST(_xlfn.NORM.INV(SUM(F10:F11), 0, 1) + 1, 0, 1, TRUE), "")</f>
        <v>0.62300966941728453</v>
      </c>
      <c r="G8" s="52">
        <f>IFERROR(1-_xlfn.NORM.DIST(_xlfn.NORM.INV(SUM(G10:G11), 0, 1) + 1, 0, 1, TRUE), "")</f>
        <v>0.73259472032102957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0.29778160417023652</v>
      </c>
      <c r="D9" s="52">
        <f>IFERROR(_xlfn.NORM.DIST(_xlfn.NORM.INV(SUM(D10:D11), 0, 1) + 1, 0, 1, TRUE) - SUM(D10:D11), "")</f>
        <v>0.29778160417023652</v>
      </c>
      <c r="E9" s="52">
        <f>IFERROR(_xlfn.NORM.DIST(_xlfn.NORM.INV(SUM(E10:E11), 0, 1) + 1, 0, 1, TRUE) - SUM(E10:E11), "")</f>
        <v>0.30851696820205732</v>
      </c>
      <c r="F9" s="52">
        <f>IFERROR(_xlfn.NORM.DIST(_xlfn.NORM.INV(SUM(F10:F11), 0, 1) + 1, 0, 1, TRUE) - SUM(F10:F11), "")</f>
        <v>0.28246537240410174</v>
      </c>
      <c r="G9" s="52">
        <f>IFERROR(_xlfn.NORM.DIST(_xlfn.NORM.INV(SUM(G10:G11), 0, 1) + 1, 0, 1, TRUE) - SUM(G10:G11), "")</f>
        <v>0.21486207710733823</v>
      </c>
    </row>
    <row r="10" spans="1:15" ht="15.75" customHeight="1" x14ac:dyDescent="0.2">
      <c r="B10" s="5" t="s">
        <v>119</v>
      </c>
      <c r="C10" s="45">
        <v>6.2125760551020703E-2</v>
      </c>
      <c r="D10" s="53">
        <v>6.2125760551020703E-2</v>
      </c>
      <c r="E10" s="53">
        <v>7.5157248934135598E-2</v>
      </c>
      <c r="F10" s="53">
        <v>6.2279893880849799E-2</v>
      </c>
      <c r="G10" s="53">
        <v>3.4148674378456298E-2</v>
      </c>
    </row>
    <row r="11" spans="1:15" ht="15.75" customHeight="1" x14ac:dyDescent="0.2">
      <c r="B11" s="5" t="s">
        <v>120</v>
      </c>
      <c r="C11" s="45">
        <v>4.5457037166952097E-2</v>
      </c>
      <c r="D11" s="53">
        <v>4.5457037166952097E-2</v>
      </c>
      <c r="E11" s="53">
        <v>4.2761224679735803E-2</v>
      </c>
      <c r="F11" s="53">
        <v>3.2245064297763901E-2</v>
      </c>
      <c r="G11" s="53">
        <v>1.8394528193175899E-2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0.49655583125000002</v>
      </c>
      <c r="D14" s="54">
        <v>0.47001446794099999</v>
      </c>
      <c r="E14" s="54">
        <v>0.47001446794099999</v>
      </c>
      <c r="F14" s="54">
        <v>0.21084454282599999</v>
      </c>
      <c r="G14" s="54">
        <v>0.21084454282599999</v>
      </c>
      <c r="H14" s="45">
        <v>0.29299999999999998</v>
      </c>
      <c r="I14" s="55">
        <v>0.29299999999999998</v>
      </c>
      <c r="J14" s="55">
        <v>0.29299999999999998</v>
      </c>
      <c r="K14" s="55">
        <v>0.29299999999999998</v>
      </c>
      <c r="L14" s="45">
        <v>0.25</v>
      </c>
      <c r="M14" s="55">
        <v>0.25</v>
      </c>
      <c r="N14" s="55">
        <v>0.25</v>
      </c>
      <c r="O14" s="55">
        <v>0.25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0.27332121241826252</v>
      </c>
      <c r="D15" s="52">
        <f t="shared" si="0"/>
        <v>0.25871194364663636</v>
      </c>
      <c r="E15" s="52">
        <f t="shared" si="0"/>
        <v>0.25871194364663636</v>
      </c>
      <c r="F15" s="52">
        <f t="shared" si="0"/>
        <v>0.11605600508588647</v>
      </c>
      <c r="G15" s="52">
        <f t="shared" si="0"/>
        <v>0.11605600508588647</v>
      </c>
      <c r="H15" s="52">
        <f t="shared" si="0"/>
        <v>0.16127716199999997</v>
      </c>
      <c r="I15" s="52">
        <f t="shared" si="0"/>
        <v>0.16127716199999997</v>
      </c>
      <c r="J15" s="52">
        <f t="shared" si="0"/>
        <v>0.16127716199999997</v>
      </c>
      <c r="K15" s="52">
        <f t="shared" si="0"/>
        <v>0.16127716199999997</v>
      </c>
      <c r="L15" s="52">
        <f t="shared" si="0"/>
        <v>0.13760849999999999</v>
      </c>
      <c r="M15" s="52">
        <f t="shared" si="0"/>
        <v>0.13760849999999999</v>
      </c>
      <c r="N15" s="52">
        <f t="shared" si="0"/>
        <v>0.13760849999999999</v>
      </c>
      <c r="O15" s="52">
        <f t="shared" si="0"/>
        <v>0.13760849999999999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Hp1IBkGm6rEbmzMQ5IMk/HmTWTy9TDlDOUZpsZjlBckIBespGu34jB/LhnG9dgz2i9KyFtRhq9EDNTabiitaGA==" saltValue="jZ2RYo+XViVqcjBHtT3re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0.70065552836136602</v>
      </c>
      <c r="D2" s="53">
        <v>0.47949795743589702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0.166770393475005</v>
      </c>
      <c r="D3" s="53">
        <v>0.18713821230769201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0.11331346789737499</v>
      </c>
      <c r="D4" s="53">
        <v>0.31432332743589703</v>
      </c>
      <c r="E4" s="53">
        <v>0.95904587324245594</v>
      </c>
      <c r="F4" s="53">
        <v>0.78975971424257396</v>
      </c>
      <c r="G4" s="53">
        <v>0</v>
      </c>
    </row>
    <row r="5" spans="1:7" x14ac:dyDescent="0.2">
      <c r="B5" s="3" t="s">
        <v>132</v>
      </c>
      <c r="C5" s="52">
        <v>1.9381586010509801E-2</v>
      </c>
      <c r="D5" s="52">
        <v>1.9040498354215101E-2</v>
      </c>
      <c r="E5" s="52">
        <f>1-SUM(E2:E4)</f>
        <v>4.0954126757544063E-2</v>
      </c>
      <c r="F5" s="52">
        <f>1-SUM(F2:F4)</f>
        <v>0.21024028575742604</v>
      </c>
      <c r="G5" s="52">
        <f>1-SUM(G2:G4)</f>
        <v>1</v>
      </c>
    </row>
  </sheetData>
  <sheetProtection algorithmName="SHA-512" hashValue="+09podyVgwgZWBGeNF7tETK4czALRFMMvqDO3NejjAeMteGDJBk9TtEEnHS2bSMPhfI2OAxsszRR2eZW3IfkTw==" saltValue="vhN19Zk9cvEq2EJ27UKjG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LAlGhlFboO17YORXajkdETTIFUf8x9CoX3W1aOSLMdhC1CFdDIsUifcYy3NSHMp2WXhiKLkoPbzaXhQjKXL+hw==" saltValue="h+2vcj0shFDyDLBdMVWZr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7rdQOkk3g3N40qtxYd3xZMo+pJE9o7vHQTjXN/HThvQ556ZTzj+WJoiWzWvWDqwtaNqBzdE6bvjBCk0SOThp8A==" saltValue="fmBNy9sWM3fbYU2k6NmOE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+DbxykYeOdoVC1WuE+FGpZ0oXhKHqtcG1LHay4kIzGZ4R1FYPmBZAbBSCsjA1cxEzz8U/7TLC9YM201dB+GfiA==" saltValue="ZkUGhHRj+ZvzA0Wkgx+6M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8K5F28YTSgVR7wIwrD8VTkPJ6hcqANYrhsz5/TKmkwsBEe/9Kqs02TTPCgVC3lSNvm2MnBw02GioDmq/OGumhA==" saltValue="psBQE1TQXFwRBn+ykrVKw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2023-01-25T12:34:49Z</dcterms:modified>
</cp:coreProperties>
</file>