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0960106E-86FD-44BF-87F4-D74CE2B4534F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5" i="2"/>
  <c r="A24" i="2"/>
  <c r="A18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I7" i="2" l="1"/>
  <c r="A26" i="2"/>
  <c r="A32" i="2"/>
  <c r="A33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<sst xmlns="http://schemas.openxmlformats.org/spreadsheetml/2006/main" count="2092" uniqueCount="337">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</sst>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1216078.984375</v>
      </c>
    </row>
    <row r="8" spans="1:3" ht="15" customHeight="1" x14ac:dyDescent="0.2">
      <c r="B8" s="5" t="s">
        <v>19</v>
      </c>
      <c r="C8" s="44">
        <v>0.498</v>
      </c>
    </row>
    <row r="9" spans="1:3" ht="15" customHeight="1" x14ac:dyDescent="0.2">
      <c r="B9" s="5" t="s">
        <v>20</v>
      </c>
      <c r="C9" s="45">
        <v>1</v>
      </c>
    </row>
    <row r="10" spans="1:3" ht="15" customHeight="1" x14ac:dyDescent="0.2">
      <c r="B10" s="5" t="s">
        <v>21</v>
      </c>
      <c r="C10" s="45">
        <v>0.33364898681640598</v>
      </c>
    </row>
    <row r="11" spans="1:3" ht="15" customHeight="1" x14ac:dyDescent="0.2">
      <c r="B11" s="5" t="s">
        <v>22</v>
      </c>
      <c r="C11" s="45">
        <v>0.57200000000000006</v>
      </c>
    </row>
    <row r="12" spans="1:3" ht="15" customHeight="1" x14ac:dyDescent="0.2">
      <c r="B12" s="5" t="s">
        <v>23</v>
      </c>
      <c r="C12" s="45">
        <v>0.48499999999999999</v>
      </c>
    </row>
    <row r="13" spans="1:3" ht="15" customHeight="1" x14ac:dyDescent="0.2">
      <c r="B13" s="5" t="s">
        <v>24</v>
      </c>
      <c r="C13" s="45">
        <v>0.67900000000000005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0.10150000000000001</v>
      </c>
    </row>
    <row r="24" spans="1:3" ht="15" customHeight="1" x14ac:dyDescent="0.2">
      <c r="B24" s="15" t="s">
        <v>33</v>
      </c>
      <c r="C24" s="45">
        <v>0.48739999999999989</v>
      </c>
    </row>
    <row r="25" spans="1:3" ht="15" customHeight="1" x14ac:dyDescent="0.2">
      <c r="B25" s="15" t="s">
        <v>34</v>
      </c>
      <c r="C25" s="45">
        <v>0.33069999999999999</v>
      </c>
    </row>
    <row r="26" spans="1:3" ht="15" customHeight="1" x14ac:dyDescent="0.2">
      <c r="B26" s="15" t="s">
        <v>35</v>
      </c>
      <c r="C26" s="45">
        <v>8.0400000000000013E-2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0.23555809078586701</v>
      </c>
    </row>
    <row r="30" spans="1:3" ht="14.25" customHeight="1" x14ac:dyDescent="0.2">
      <c r="B30" s="25" t="s">
        <v>38</v>
      </c>
      <c r="C30" s="99">
        <v>3.4184984067948898E-2</v>
      </c>
    </row>
    <row r="31" spans="1:3" ht="14.25" customHeight="1" x14ac:dyDescent="0.2">
      <c r="B31" s="25" t="s">
        <v>39</v>
      </c>
      <c r="C31" s="99">
        <v>6.8897621685866203E-2</v>
      </c>
    </row>
    <row r="32" spans="1:3" ht="14.25" customHeight="1" x14ac:dyDescent="0.2">
      <c r="B32" s="25" t="s">
        <v>40</v>
      </c>
      <c r="C32" s="99">
        <v>0.66135930346031802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24.8118147309055</v>
      </c>
    </row>
    <row r="38" spans="1:5" ht="15" customHeight="1" x14ac:dyDescent="0.2">
      <c r="B38" s="11" t="s">
        <v>45</v>
      </c>
      <c r="C38" s="43">
        <v>45.761149469721602</v>
      </c>
      <c r="D38" s="12"/>
      <c r="E38" s="13"/>
    </row>
    <row r="39" spans="1:5" ht="15" customHeight="1" x14ac:dyDescent="0.2">
      <c r="B39" s="11" t="s">
        <v>46</v>
      </c>
      <c r="C39" s="43">
        <v>66.904695702863094</v>
      </c>
      <c r="D39" s="12"/>
      <c r="E39" s="12"/>
    </row>
    <row r="40" spans="1:5" ht="15" customHeight="1" x14ac:dyDescent="0.2">
      <c r="B40" s="11" t="s">
        <v>47</v>
      </c>
      <c r="C40" s="100">
        <v>3.96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22.391259139999999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2.1338699999999999E-2</v>
      </c>
      <c r="D45" s="12"/>
    </row>
    <row r="46" spans="1:5" ht="15.75" customHeight="1" x14ac:dyDescent="0.2">
      <c r="B46" s="11" t="s">
        <v>52</v>
      </c>
      <c r="C46" s="45">
        <v>0.1114093</v>
      </c>
      <c r="D46" s="12"/>
    </row>
    <row r="47" spans="1:5" ht="15.75" customHeight="1" x14ac:dyDescent="0.2">
      <c r="B47" s="11" t="s">
        <v>53</v>
      </c>
      <c r="C47" s="45">
        <v>0.20647860000000001</v>
      </c>
      <c r="D47" s="12"/>
      <c r="E47" s="13"/>
    </row>
    <row r="48" spans="1:5" ht="15" customHeight="1" x14ac:dyDescent="0.2">
      <c r="B48" s="11" t="s">
        <v>54</v>
      </c>
      <c r="C48" s="46">
        <v>0.66077340000000007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0.42155599999999999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0.16087605999999999</v>
      </c>
    </row>
    <row r="63" spans="1:4" ht="15.75" customHeight="1" x14ac:dyDescent="0.2">
      <c r="A63" s="4"/>
    </row>
  </sheetData>
  <sheetProtection algorithmName="SHA-512" hashValue="aMnsaUgEesAXGs5sGIsZFrD9JS03XB2n9R/iq52HwQWLl7878sWDHXTlkEcmmPrRXw/623xDOR9E0OsiQYrEDw==" saltValue="ctdaNUoFy9fSLsQpnilQ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0.47758226098621298</v>
      </c>
      <c r="C2" s="98">
        <v>0.95</v>
      </c>
      <c r="D2" s="56">
        <v>35.286531868543193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44.645110031904643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57.846169364861282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0.14631853752647689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0.16281338131308001</v>
      </c>
      <c r="C10" s="98">
        <v>0.95</v>
      </c>
      <c r="D10" s="56">
        <v>14.170171901025009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0.16281338131308001</v>
      </c>
      <c r="C11" s="98">
        <v>0.95</v>
      </c>
      <c r="D11" s="56">
        <v>14.170171901025009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0.16281338131308001</v>
      </c>
      <c r="C12" s="98">
        <v>0.95</v>
      </c>
      <c r="D12" s="56">
        <v>14.170171901025009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0.16281338131308001</v>
      </c>
      <c r="C13" s="98">
        <v>0.95</v>
      </c>
      <c r="D13" s="56">
        <v>14.170171901025009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0.16281338131308001</v>
      </c>
      <c r="C14" s="98">
        <v>0.95</v>
      </c>
      <c r="D14" s="56">
        <v>14.170171901025009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0.16281338131308001</v>
      </c>
      <c r="C15" s="98">
        <v>0.95</v>
      </c>
      <c r="D15" s="56">
        <v>14.170171901025009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0.22645423336558179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0.690859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0.89</v>
      </c>
      <c r="C18" s="98">
        <v>0.95</v>
      </c>
      <c r="D18" s="56">
        <v>1.4408777640412029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1.4408777640412029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0.79971170000000003</v>
      </c>
      <c r="C21" s="98">
        <v>0.95</v>
      </c>
      <c r="D21" s="56">
        <v>1.33337149951185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24.144360821115921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4.6467238358608798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0.10586519507664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0.178055479731376</v>
      </c>
      <c r="C27" s="98">
        <v>0.95</v>
      </c>
      <c r="D27" s="56">
        <v>20.475417278229141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0.16132103701928399</v>
      </c>
      <c r="C29" s="98">
        <v>0.95</v>
      </c>
      <c r="D29" s="56">
        <v>61.740822968925912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0.95248474388694404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4.0840590000000001E-3</v>
      </c>
      <c r="C32" s="98">
        <v>0.95</v>
      </c>
      <c r="D32" s="56">
        <v>0.42565395189955457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0.29872090000000001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0.71077219999999997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3.4184480000000003E-2</v>
      </c>
      <c r="C38" s="98">
        <v>0.95</v>
      </c>
      <c r="D38" s="56">
        <v>5.316248687042834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0.25693407992949402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S5vXt1XNaI9nmMejb8Rfj7voOj8mMk6ubEbdLE5/rqNt2QBk+gctK8hKZ/R6JRmVVyz317+8NMiPtmV4TdOmxA==" saltValue="+12g9/0VYopp31OTnGBK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PeLmRBpYS/jP982oxKsol6btd4oLGM3cP804tu7GcKwh8pUkLbxbk7N/YFf0S/EWH9OJg2lEMiyJmJQ7ggEzkg==" saltValue="880H/GG4BvpvVLgGMtcHa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YEcCeT8A7dxQncYlKXSmEZUSX+lL+8WwHL7kI3A5VALGFsnZ1UisgE+njqysRaQwfsusq/VrBySLvFbQpbbGOg==" saltValue="NDX6frLilm/vJTkyi3y3T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7.30515422E-2</v>
      </c>
      <c r="C3" s="21">
        <f>frac_mam_1_5months * 2.6</f>
        <v>7.30515422E-2</v>
      </c>
      <c r="D3" s="21">
        <f>frac_mam_6_11months * 2.6</f>
        <v>0.16600461280000001</v>
      </c>
      <c r="E3" s="21">
        <f>frac_mam_12_23months * 2.6</f>
        <v>0.19920268160000001</v>
      </c>
      <c r="F3" s="21">
        <f>frac_mam_24_59months * 2.6</f>
        <v>9.3112182799999998E-2</v>
      </c>
    </row>
    <row r="4" spans="1:6" ht="15.75" customHeight="1" x14ac:dyDescent="0.2">
      <c r="A4" s="3" t="s">
        <v>208</v>
      </c>
      <c r="B4" s="21">
        <f>frac_sam_1month * 2.6</f>
        <v>6.27002272E-2</v>
      </c>
      <c r="C4" s="21">
        <f>frac_sam_1_5months * 2.6</f>
        <v>6.27002272E-2</v>
      </c>
      <c r="D4" s="21">
        <f>frac_sam_6_11months * 2.6</f>
        <v>5.7674190600000001E-2</v>
      </c>
      <c r="E4" s="21">
        <f>frac_sam_12_23months * 2.6</f>
        <v>1.7126720519999999E-2</v>
      </c>
      <c r="F4" s="21">
        <f>frac_sam_24_59months * 2.6</f>
        <v>2.1943241840000002E-2</v>
      </c>
    </row>
  </sheetData>
  <sheetProtection algorithmName="SHA-512" hashValue="U35xtFi3xQSliNhdsExIU6nHTzgzGlrQn1k7FpDcj5pS0Bs1yHY7YvuKrwalzaD6Q3Hzsdi0LD1H3CGbHbWCww==" saltValue="KkHs34+n64+a6aSPdhzc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0.498</v>
      </c>
      <c r="E2" s="60">
        <f>food_insecure</f>
        <v>0.498</v>
      </c>
      <c r="F2" s="60">
        <f>food_insecure</f>
        <v>0.498</v>
      </c>
      <c r="G2" s="60">
        <f>food_insecure</f>
        <v>0.498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0.498</v>
      </c>
      <c r="F5" s="60">
        <f>food_insecure</f>
        <v>0.498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0.498</v>
      </c>
      <c r="F8" s="60">
        <f>food_insecure</f>
        <v>0.498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0.498</v>
      </c>
      <c r="F9" s="60">
        <f>food_insecure</f>
        <v>0.498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0.48499999999999999</v>
      </c>
      <c r="E10" s="60">
        <f>IF(ISBLANK(comm_deliv), frac_children_health_facility,1)</f>
        <v>0.48499999999999999</v>
      </c>
      <c r="F10" s="60">
        <f>IF(ISBLANK(comm_deliv), frac_children_health_facility,1)</f>
        <v>0.48499999999999999</v>
      </c>
      <c r="G10" s="60">
        <f>IF(ISBLANK(comm_deliv), frac_children_health_facility,1)</f>
        <v>0.48499999999999999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0.498</v>
      </c>
      <c r="I15" s="60">
        <f>food_insecure</f>
        <v>0.498</v>
      </c>
      <c r="J15" s="60">
        <f>food_insecure</f>
        <v>0.498</v>
      </c>
      <c r="K15" s="60">
        <f>food_insecure</f>
        <v>0.498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0.57200000000000006</v>
      </c>
      <c r="I18" s="60">
        <f>frac_PW_health_facility</f>
        <v>0.57200000000000006</v>
      </c>
      <c r="J18" s="60">
        <f>frac_PW_health_facility</f>
        <v>0.57200000000000006</v>
      </c>
      <c r="K18" s="60">
        <f>frac_PW_health_facility</f>
        <v>0.57200000000000006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0.67900000000000005</v>
      </c>
      <c r="M24" s="60">
        <f>famplan_unmet_need</f>
        <v>0.67900000000000005</v>
      </c>
      <c r="N24" s="60">
        <f>famplan_unmet_need</f>
        <v>0.67900000000000005</v>
      </c>
      <c r="O24" s="60">
        <f>famplan_unmet_need</f>
        <v>0.67900000000000005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0.39619898541870135</v>
      </c>
      <c r="M25" s="60">
        <f>(1-food_insecure)*(0.49)+food_insecure*(0.7)</f>
        <v>0.59458</v>
      </c>
      <c r="N25" s="60">
        <f>(1-food_insecure)*(0.49)+food_insecure*(0.7)</f>
        <v>0.59458</v>
      </c>
      <c r="O25" s="60">
        <f>(1-food_insecure)*(0.49)+food_insecure*(0.7)</f>
        <v>0.59458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0.16979956517944345</v>
      </c>
      <c r="M26" s="60">
        <f>(1-food_insecure)*(0.21)+food_insecure*(0.3)</f>
        <v>0.25481999999999999</v>
      </c>
      <c r="N26" s="60">
        <f>(1-food_insecure)*(0.21)+food_insecure*(0.3)</f>
        <v>0.25481999999999999</v>
      </c>
      <c r="O26" s="60">
        <f>(1-food_insecure)*(0.21)+food_insecure*(0.3)</f>
        <v>0.25481999999999999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0.10035246258544925</v>
      </c>
      <c r="M27" s="60">
        <f>(1-food_insecure)*(0.3)</f>
        <v>0.15059999999999998</v>
      </c>
      <c r="N27" s="60">
        <f>(1-food_insecure)*(0.3)</f>
        <v>0.15059999999999998</v>
      </c>
      <c r="O27" s="60">
        <f>(1-food_insecure)*(0.3)</f>
        <v>0.15059999999999998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0.33364898681640598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TzKCpQRNr6VhTKxfxbXxzJAXLHIPMRo8CD7xQJ2NqD1WMNtHl4Iqb0LaXp9jfPj967AgcaWXu9yrOPqASQXlMg==" saltValue="Z2eFJNgegp6WO5L92u7o0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81ZCUPIzc/gNr4645ugt5KtSJQuIra2s3ysfTeC2tC6JuCaTpkkdh8iB6Gd4h1stS0I45Y+79FuWsUBpKFUNOg==" saltValue="Wzjug2OEiJQonUIUcMx6x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uj82wIFk45HjxeKunM9+bs1Ei8L9k8VqIo/5okX/5n5XaxweanLO4kh/Mj4F2ssT4WKsx57IL5qv/mwUMASzag==" saltValue="A6u9c1nQ+uBL0eTGbIYLl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Zhx7oON1gLQOqLXwEI023xZJ7IQSO4Fha9uTTPXjzVqbwZH+dWlo6jNvQmj9y0F7nixv1Rn+omlkYTExMVCgw==" saltValue="YLtHXRSG6pc4GslmDs/m7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zmeRrUnKfACgmiAUZgwD7OauDCy25T0qIhlnXL5gRo7lN0TEcozbs7yvw/vTfXeiYkpz/GY1XCv+TrQKksOAqQ==" saltValue="Ma7SkITfIvkWufNN6sRfz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Cub3R9WBJpHqukBBGKiQdPSmRz3xmtHIL3EWK4mCEAwq5apmuec+0xm354MwpJwnFCXzZO+yqJsrpr/aFVrbvg==" saltValue="7EXJewvpbI8r6hcF7e71E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274072.69099999999</v>
      </c>
      <c r="C2" s="49">
        <v>460000</v>
      </c>
      <c r="D2" s="49">
        <v>711000</v>
      </c>
      <c r="E2" s="49">
        <v>5900</v>
      </c>
      <c r="F2" s="49">
        <v>5600</v>
      </c>
      <c r="G2" s="17">
        <f t="shared" ref="G2:G11" si="0">C2+D2+E2+F2</f>
        <v>1182500</v>
      </c>
      <c r="H2" s="17">
        <f t="shared" ref="H2:H11" si="1">(B2 + stillbirth*B2/(1000-stillbirth))/(1-abortion)</f>
        <v>318579.6390269064</v>
      </c>
      <c r="I2" s="17">
        <f t="shared" ref="I2:I11" si="2">G2-H2</f>
        <v>863920.36097309366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277662.17040000012</v>
      </c>
      <c r="C3" s="50">
        <v>473000</v>
      </c>
      <c r="D3" s="50">
        <v>731000</v>
      </c>
      <c r="E3" s="50">
        <v>6000</v>
      </c>
      <c r="F3" s="50">
        <v>5600</v>
      </c>
      <c r="G3" s="17">
        <f t="shared" si="0"/>
        <v>1215600</v>
      </c>
      <c r="H3" s="17">
        <f t="shared" si="1"/>
        <v>322752.01770270284</v>
      </c>
      <c r="I3" s="17">
        <f t="shared" si="2"/>
        <v>892847.9822972971</v>
      </c>
    </row>
    <row r="4" spans="1:9" ht="15.75" customHeight="1" x14ac:dyDescent="0.2">
      <c r="A4" s="5">
        <f t="shared" si="3"/>
        <v>2023</v>
      </c>
      <c r="B4" s="49">
        <v>281245.28340000001</v>
      </c>
      <c r="C4" s="50">
        <v>486000</v>
      </c>
      <c r="D4" s="50">
        <v>753000</v>
      </c>
      <c r="E4" s="50">
        <v>6100</v>
      </c>
      <c r="F4" s="50">
        <v>5600</v>
      </c>
      <c r="G4" s="17">
        <f t="shared" si="0"/>
        <v>1250700</v>
      </c>
      <c r="H4" s="17">
        <f t="shared" si="1"/>
        <v>326916.99613221223</v>
      </c>
      <c r="I4" s="17">
        <f t="shared" si="2"/>
        <v>923783.00386778777</v>
      </c>
    </row>
    <row r="5" spans="1:9" ht="15.75" customHeight="1" x14ac:dyDescent="0.2">
      <c r="A5" s="5">
        <f t="shared" si="3"/>
        <v>2024</v>
      </c>
      <c r="B5" s="49">
        <v>284756.22840000002</v>
      </c>
      <c r="C5" s="50">
        <v>499000</v>
      </c>
      <c r="D5" s="50">
        <v>777000</v>
      </c>
      <c r="E5" s="50">
        <v>6300</v>
      </c>
      <c r="F5" s="50">
        <v>5500</v>
      </c>
      <c r="G5" s="17">
        <f t="shared" si="0"/>
        <v>1287800</v>
      </c>
      <c r="H5" s="17">
        <f t="shared" si="1"/>
        <v>330998.08712548931</v>
      </c>
      <c r="I5" s="17">
        <f t="shared" si="2"/>
        <v>956801.91287451074</v>
      </c>
    </row>
    <row r="6" spans="1:9" ht="15.75" customHeight="1" x14ac:dyDescent="0.2">
      <c r="A6" s="5">
        <f t="shared" si="3"/>
        <v>2025</v>
      </c>
      <c r="B6" s="49">
        <v>288193.05300000001</v>
      </c>
      <c r="C6" s="50">
        <v>510000</v>
      </c>
      <c r="D6" s="50">
        <v>802000</v>
      </c>
      <c r="E6" s="50">
        <v>6400</v>
      </c>
      <c r="F6" s="50">
        <v>5500</v>
      </c>
      <c r="G6" s="17">
        <f t="shared" si="0"/>
        <v>1323900</v>
      </c>
      <c r="H6" s="17">
        <f t="shared" si="1"/>
        <v>334993.02123027685</v>
      </c>
      <c r="I6" s="17">
        <f t="shared" si="2"/>
        <v>988906.97876972309</v>
      </c>
    </row>
    <row r="7" spans="1:9" ht="15.75" customHeight="1" x14ac:dyDescent="0.2">
      <c r="A7" s="5">
        <f t="shared" si="3"/>
        <v>2026</v>
      </c>
      <c r="B7" s="49">
        <v>292184.2</v>
      </c>
      <c r="C7" s="50">
        <v>520000</v>
      </c>
      <c r="D7" s="50">
        <v>827000</v>
      </c>
      <c r="E7" s="50">
        <v>6600</v>
      </c>
      <c r="F7" s="50">
        <v>5400</v>
      </c>
      <c r="G7" s="17">
        <f t="shared" si="0"/>
        <v>1359000</v>
      </c>
      <c r="H7" s="17">
        <f t="shared" si="1"/>
        <v>339632.29472346604</v>
      </c>
      <c r="I7" s="17">
        <f t="shared" si="2"/>
        <v>1019367.705276534</v>
      </c>
    </row>
    <row r="8" spans="1:9" ht="15.75" customHeight="1" x14ac:dyDescent="0.2">
      <c r="A8" s="5">
        <f t="shared" si="3"/>
        <v>2027</v>
      </c>
      <c r="B8" s="49">
        <v>296151.68520000001</v>
      </c>
      <c r="C8" s="50">
        <v>529000</v>
      </c>
      <c r="D8" s="50">
        <v>854000</v>
      </c>
      <c r="E8" s="50">
        <v>6900</v>
      </c>
      <c r="F8" s="50">
        <v>5300</v>
      </c>
      <c r="G8" s="17">
        <f t="shared" si="0"/>
        <v>1395200</v>
      </c>
      <c r="H8" s="17">
        <f t="shared" si="1"/>
        <v>344244.0639524571</v>
      </c>
      <c r="I8" s="17">
        <f t="shared" si="2"/>
        <v>1050955.9360475428</v>
      </c>
    </row>
    <row r="9" spans="1:9" ht="15.75" customHeight="1" x14ac:dyDescent="0.2">
      <c r="A9" s="5">
        <f t="shared" si="3"/>
        <v>2028</v>
      </c>
      <c r="B9" s="49">
        <v>300063.28840000002</v>
      </c>
      <c r="C9" s="50">
        <v>537000</v>
      </c>
      <c r="D9" s="50">
        <v>881000</v>
      </c>
      <c r="E9" s="50">
        <v>7200</v>
      </c>
      <c r="F9" s="50">
        <v>5200</v>
      </c>
      <c r="G9" s="17">
        <f t="shared" si="0"/>
        <v>1430400</v>
      </c>
      <c r="H9" s="17">
        <f t="shared" si="1"/>
        <v>348790.87644561607</v>
      </c>
      <c r="I9" s="17">
        <f t="shared" si="2"/>
        <v>1081609.1235543839</v>
      </c>
    </row>
    <row r="10" spans="1:9" ht="15.75" customHeight="1" x14ac:dyDescent="0.2">
      <c r="A10" s="5">
        <f t="shared" si="3"/>
        <v>2029</v>
      </c>
      <c r="B10" s="49">
        <v>303946.97059999988</v>
      </c>
      <c r="C10" s="50">
        <v>545000</v>
      </c>
      <c r="D10" s="50">
        <v>907000</v>
      </c>
      <c r="E10" s="50">
        <v>7500</v>
      </c>
      <c r="F10" s="50">
        <v>5100</v>
      </c>
      <c r="G10" s="17">
        <f t="shared" si="0"/>
        <v>1464600</v>
      </c>
      <c r="H10" s="17">
        <f t="shared" si="1"/>
        <v>353305.23381867952</v>
      </c>
      <c r="I10" s="17">
        <f t="shared" si="2"/>
        <v>1111294.7661813204</v>
      </c>
    </row>
    <row r="11" spans="1:9" ht="15.75" customHeight="1" x14ac:dyDescent="0.2">
      <c r="A11" s="5">
        <f t="shared" si="3"/>
        <v>2030</v>
      </c>
      <c r="B11" s="49">
        <v>307771.04399999999</v>
      </c>
      <c r="C11" s="50">
        <v>553000</v>
      </c>
      <c r="D11" s="50">
        <v>932000</v>
      </c>
      <c r="E11" s="50">
        <v>7700</v>
      </c>
      <c r="F11" s="50">
        <v>5000</v>
      </c>
      <c r="G11" s="17">
        <f t="shared" si="0"/>
        <v>1497700</v>
      </c>
      <c r="H11" s="17">
        <f t="shared" si="1"/>
        <v>357750.30245700083</v>
      </c>
      <c r="I11" s="17">
        <f t="shared" si="2"/>
        <v>1139949.6975429992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agym3vxv/EB19RCA+vUsr2GWxEmnlNcVlOe4kiy7BCn2RODH7LK37fq3r0O/ugKXVO3BbR4xOsGmPNbeQcCFQ==" saltValue="n7Og1IP4tZ6Xpf9N3a3mj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ZtLpN7IFxkk9g0iKNThwLNlUh7nBFIfp/AGOGTX2x1vmZ7H0W6DZt5YR0FllmyUCBbbBcXgsJlT4QWavzt8LOQ==" saltValue="tUpA4M3VCCvOZV1Ci33GG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B/TUBXd42qFHI+znSRC/4HoImrX1tE5nXqfLBNe3Kp8Ba76vnBDt5oZnxYNtx6ATSEfkCnPEfUVq8hLiRijcoA==" saltValue="gw4MMJIDKcIHO90nbR+A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jLXeHNHhlyJF2tAbgpWbyE93EKUwdDSscR49JFJgxexNCi1xXt3fy9A+y/klfPkK8NURsd+GLkCNp75cm8TMjw==" saltValue="mYKtrak2Z/eFDTmcXUdk2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DR1JIYsuDvlrlQZQZl10wWYXmxTyPmAG+vrEP1REaWYcvBRLnuEPATEbE65L3vZ4uzEz+/jsSYwpv884P0dTGw==" saltValue="toLTHhMvgD1z2EbOrY3XN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NilYW67CaApD0Bv4G2JEV+yRZnCEkocwMPyQoQlr+Q08xUiACv+2Pxkkm/BXqEE0D7Hc4sYxhlWmugWzU2UlLA==" saltValue="pfn/V+BPoNls/K3sVfaI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YYubgn66ejuszksYq7JyzhD+2RCCav0VeW2qh+0hSanvqvNgeKFShmDvLRF1S7Eid17uGaX/tqJjN20pegvZdw==" saltValue="YuqRK9BFH9jag7KV7K9N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3qea6ajO5IlKhT5ubnPKJPosJu6IREXdtyQBw1smCwNcTGAhl45TvjTf3UBQYM3nFv8OGQfLHGsDMfX3Qam3lQ==" saltValue="TMLloYfFa88ulxugJITY6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9pSc8QenjEpubACGmjYQCU1GBOzKEHjkZWBtOA0cSEOja17kNbOGKTYJYnuCfNn6LWk2pTLOl9plpacvZ0Lqxw==" saltValue="f10EamnvjogT1w+Mzfnt2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13afSu3jbGapaM4AcjLvPkAC18JOGTLryhRFohKSENwQv0w07ZDVLCstGEoQu2fPH6w3aH69rs2nk54Xa1/ypQ==" saltValue="T5jYhDwp2NC7Wh2LEsXEb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4.5084224984836196E-3</v>
      </c>
    </row>
    <row r="4" spans="1:8" ht="15.75" customHeight="1" x14ac:dyDescent="0.2">
      <c r="B4" s="19" t="s">
        <v>79</v>
      </c>
      <c r="C4" s="101">
        <v>0.17126840697998999</v>
      </c>
    </row>
    <row r="5" spans="1:8" ht="15.75" customHeight="1" x14ac:dyDescent="0.2">
      <c r="B5" s="19" t="s">
        <v>80</v>
      </c>
      <c r="C5" s="101">
        <v>7.3779733320642193E-2</v>
      </c>
    </row>
    <row r="6" spans="1:8" ht="15.75" customHeight="1" x14ac:dyDescent="0.2">
      <c r="B6" s="19" t="s">
        <v>81</v>
      </c>
      <c r="C6" s="101">
        <v>0.31437900287921478</v>
      </c>
    </row>
    <row r="7" spans="1:8" ht="15.75" customHeight="1" x14ac:dyDescent="0.2">
      <c r="B7" s="19" t="s">
        <v>82</v>
      </c>
      <c r="C7" s="101">
        <v>0.26435372220569858</v>
      </c>
    </row>
    <row r="8" spans="1:8" ht="15.75" customHeight="1" x14ac:dyDescent="0.2">
      <c r="B8" s="19" t="s">
        <v>83</v>
      </c>
      <c r="C8" s="101">
        <v>9.1946730487332384E-3</v>
      </c>
    </row>
    <row r="9" spans="1:8" ht="15.75" customHeight="1" x14ac:dyDescent="0.2">
      <c r="B9" s="19" t="s">
        <v>84</v>
      </c>
      <c r="C9" s="101">
        <v>8.7789070716595669E-2</v>
      </c>
    </row>
    <row r="10" spans="1:8" ht="15.75" customHeight="1" x14ac:dyDescent="0.2">
      <c r="B10" s="19" t="s">
        <v>85</v>
      </c>
      <c r="C10" s="101">
        <v>7.4726968350641826E-2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0.10080774672904561</v>
      </c>
      <c r="D14" s="55">
        <v>0.10080774672904561</v>
      </c>
      <c r="E14" s="55">
        <v>0.10080774672904561</v>
      </c>
      <c r="F14" s="55">
        <v>0.10080774672904561</v>
      </c>
    </row>
    <row r="15" spans="1:8" ht="15.75" customHeight="1" x14ac:dyDescent="0.2">
      <c r="B15" s="19" t="s">
        <v>88</v>
      </c>
      <c r="C15" s="101">
        <v>0.14669945086195971</v>
      </c>
      <c r="D15" s="101">
        <v>0.14669945086195971</v>
      </c>
      <c r="E15" s="101">
        <v>0.14669945086195971</v>
      </c>
      <c r="F15" s="101">
        <v>0.14669945086195971</v>
      </c>
    </row>
    <row r="16" spans="1:8" ht="15.75" customHeight="1" x14ac:dyDescent="0.2">
      <c r="B16" s="19" t="s">
        <v>89</v>
      </c>
      <c r="C16" s="101">
        <v>3.350287730205536E-2</v>
      </c>
      <c r="D16" s="101">
        <v>3.350287730205536E-2</v>
      </c>
      <c r="E16" s="101">
        <v>3.350287730205536E-2</v>
      </c>
      <c r="F16" s="101">
        <v>3.350287730205536E-2</v>
      </c>
    </row>
    <row r="17" spans="1:8" ht="15.75" customHeight="1" x14ac:dyDescent="0.2">
      <c r="B17" s="19" t="s">
        <v>90</v>
      </c>
      <c r="C17" s="101">
        <v>1.076389661166318E-2</v>
      </c>
      <c r="D17" s="101">
        <v>1.076389661166318E-2</v>
      </c>
      <c r="E17" s="101">
        <v>1.076389661166318E-2</v>
      </c>
      <c r="F17" s="101">
        <v>1.076389661166318E-2</v>
      </c>
    </row>
    <row r="18" spans="1:8" ht="15.75" customHeight="1" x14ac:dyDescent="0.2">
      <c r="B18" s="19" t="s">
        <v>91</v>
      </c>
      <c r="C18" s="101">
        <v>0.35749536531377379</v>
      </c>
      <c r="D18" s="101">
        <v>0.35749536531377379</v>
      </c>
      <c r="E18" s="101">
        <v>0.35749536531377379</v>
      </c>
      <c r="F18" s="101">
        <v>0.35749536531377379</v>
      </c>
    </row>
    <row r="19" spans="1:8" ht="15.75" customHeight="1" x14ac:dyDescent="0.2">
      <c r="B19" s="19" t="s">
        <v>92</v>
      </c>
      <c r="C19" s="101">
        <v>2.112537964634607E-2</v>
      </c>
      <c r="D19" s="101">
        <v>2.112537964634607E-2</v>
      </c>
      <c r="E19" s="101">
        <v>2.112537964634607E-2</v>
      </c>
      <c r="F19" s="101">
        <v>2.112537964634607E-2</v>
      </c>
    </row>
    <row r="20" spans="1:8" ht="15.75" customHeight="1" x14ac:dyDescent="0.2">
      <c r="B20" s="19" t="s">
        <v>93</v>
      </c>
      <c r="C20" s="101">
        <v>4.6010463658488987E-2</v>
      </c>
      <c r="D20" s="101">
        <v>4.6010463658488987E-2</v>
      </c>
      <c r="E20" s="101">
        <v>4.6010463658488987E-2</v>
      </c>
      <c r="F20" s="101">
        <v>4.6010463658488987E-2</v>
      </c>
    </row>
    <row r="21" spans="1:8" ht="15.75" customHeight="1" x14ac:dyDescent="0.2">
      <c r="B21" s="19" t="s">
        <v>94</v>
      </c>
      <c r="C21" s="101">
        <v>7.5013722501847832E-2</v>
      </c>
      <c r="D21" s="101">
        <v>7.5013722501847832E-2</v>
      </c>
      <c r="E21" s="101">
        <v>7.5013722501847832E-2</v>
      </c>
      <c r="F21" s="101">
        <v>7.5013722501847832E-2</v>
      </c>
    </row>
    <row r="22" spans="1:8" ht="15.75" customHeight="1" x14ac:dyDescent="0.2">
      <c r="B22" s="19" t="s">
        <v>95</v>
      </c>
      <c r="C22" s="101">
        <v>0.2085810973748195</v>
      </c>
      <c r="D22" s="101">
        <v>0.2085810973748195</v>
      </c>
      <c r="E22" s="101">
        <v>0.2085810973748195</v>
      </c>
      <c r="F22" s="101">
        <v>0.2085810973748195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8.6770851999999982E-2</v>
      </c>
    </row>
    <row r="27" spans="1:8" ht="15.75" customHeight="1" x14ac:dyDescent="0.2">
      <c r="B27" s="19" t="s">
        <v>102</v>
      </c>
      <c r="C27" s="101">
        <v>8.6437730000000004E-3</v>
      </c>
    </row>
    <row r="28" spans="1:8" ht="15.75" customHeight="1" x14ac:dyDescent="0.2">
      <c r="B28" s="19" t="s">
        <v>103</v>
      </c>
      <c r="C28" s="101">
        <v>0.153215352</v>
      </c>
    </row>
    <row r="29" spans="1:8" ht="15.75" customHeight="1" x14ac:dyDescent="0.2">
      <c r="B29" s="19" t="s">
        <v>104</v>
      </c>
      <c r="C29" s="101">
        <v>0.165097191</v>
      </c>
    </row>
    <row r="30" spans="1:8" ht="15.75" customHeight="1" x14ac:dyDescent="0.2">
      <c r="B30" s="19" t="s">
        <v>2</v>
      </c>
      <c r="C30" s="101">
        <v>0.10312302</v>
      </c>
    </row>
    <row r="31" spans="1:8" ht="15.75" customHeight="1" x14ac:dyDescent="0.2">
      <c r="B31" s="19" t="s">
        <v>105</v>
      </c>
      <c r="C31" s="101">
        <v>0.106218667</v>
      </c>
    </row>
    <row r="32" spans="1:8" ht="15.75" customHeight="1" x14ac:dyDescent="0.2">
      <c r="B32" s="19" t="s">
        <v>106</v>
      </c>
      <c r="C32" s="101">
        <v>1.8201770999999999E-2</v>
      </c>
    </row>
    <row r="33" spans="2:3" ht="15.75" customHeight="1" x14ac:dyDescent="0.2">
      <c r="B33" s="19" t="s">
        <v>107</v>
      </c>
      <c r="C33" s="101">
        <v>8.2691194999999981E-2</v>
      </c>
    </row>
    <row r="34" spans="2:3" ht="15.75" customHeight="1" x14ac:dyDescent="0.2">
      <c r="B34" s="19" t="s">
        <v>108</v>
      </c>
      <c r="C34" s="101">
        <v>0.27603818000000002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CliELv1k+HI2io1NZnA0AGHkXrUszlgQZOi+AkNIkgyFi9ycF9/g/zYk+we5tUG5uJCaBE5kuE4DodPEbDC/7Q==" saltValue="xFfsRaieEgphekn7pX3ci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0.57919363215974706</v>
      </c>
      <c r="D2" s="52">
        <f>IFERROR(1-_xlfn.NORM.DIST(_xlfn.NORM.INV(SUM(D4:D5), 0, 1) + 1, 0, 1, TRUE), "")</f>
        <v>0.57919363215974706</v>
      </c>
      <c r="E2" s="52">
        <f>IFERROR(1-_xlfn.NORM.DIST(_xlfn.NORM.INV(SUM(E4:E5), 0, 1) + 1, 0, 1, TRUE), "")</f>
        <v>0.54639482981737875</v>
      </c>
      <c r="F2" s="52">
        <f>IFERROR(1-_xlfn.NORM.DIST(_xlfn.NORM.INV(SUM(F4:F5), 0, 1) + 1, 0, 1, TRUE), "")</f>
        <v>0.37279198925126023</v>
      </c>
      <c r="G2" s="52">
        <f>IFERROR(1-_xlfn.NORM.DIST(_xlfn.NORM.INV(SUM(G4:G5), 0, 1) + 1, 0, 1, TRUE), "")</f>
        <v>0.34714271438259625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0.30570388184025299</v>
      </c>
      <c r="D3" s="52">
        <f>IFERROR(_xlfn.NORM.DIST(_xlfn.NORM.INV(SUM(D4:D5), 0, 1) + 1, 0, 1, TRUE) - SUM(D4:D5), "")</f>
        <v>0.30570388184025299</v>
      </c>
      <c r="E3" s="52">
        <f>IFERROR(_xlfn.NORM.DIST(_xlfn.NORM.INV(SUM(E4:E5), 0, 1) + 1, 0, 1, TRUE) - SUM(E4:E5), "")</f>
        <v>0.32151348618262127</v>
      </c>
      <c r="F3" s="52">
        <f>IFERROR(_xlfn.NORM.DIST(_xlfn.NORM.INV(SUM(F4:F5), 0, 1) + 1, 0, 1, TRUE) - SUM(F4:F5), "")</f>
        <v>0.37753919474873976</v>
      </c>
      <c r="G3" s="52">
        <f>IFERROR(_xlfn.NORM.DIST(_xlfn.NORM.INV(SUM(G4:G5), 0, 1) + 1, 0, 1, TRUE) - SUM(G4:G5), "")</f>
        <v>0.38091653061740371</v>
      </c>
    </row>
    <row r="4" spans="1:15" ht="15.75" customHeight="1" x14ac:dyDescent="0.2">
      <c r="B4" s="5" t="s">
        <v>114</v>
      </c>
      <c r="C4" s="45">
        <v>8.1605004999999994E-2</v>
      </c>
      <c r="D4" s="53">
        <v>8.1605004999999994E-2</v>
      </c>
      <c r="E4" s="53">
        <v>0.1052949</v>
      </c>
      <c r="F4" s="53">
        <v>0.18231170999999999</v>
      </c>
      <c r="G4" s="53">
        <v>0.19312365000000001</v>
      </c>
    </row>
    <row r="5" spans="1:15" ht="15.75" customHeight="1" x14ac:dyDescent="0.2">
      <c r="B5" s="5" t="s">
        <v>115</v>
      </c>
      <c r="C5" s="45">
        <v>3.3497481000000003E-2</v>
      </c>
      <c r="D5" s="53">
        <v>3.3497481000000003E-2</v>
      </c>
      <c r="E5" s="53">
        <v>2.6796784000000001E-2</v>
      </c>
      <c r="F5" s="53">
        <v>6.7357106E-2</v>
      </c>
      <c r="G5" s="53">
        <v>7.8817104999999998E-2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0.73361139621914284</v>
      </c>
      <c r="D8" s="52">
        <f>IFERROR(1-_xlfn.NORM.DIST(_xlfn.NORM.INV(SUM(D10:D11), 0, 1) + 1, 0, 1, TRUE), "")</f>
        <v>0.73361139621914284</v>
      </c>
      <c r="E8" s="52">
        <f>IFERROR(1-_xlfn.NORM.DIST(_xlfn.NORM.INV(SUM(E10:E11), 0, 1) + 1, 0, 1, TRUE), "")</f>
        <v>0.6426728804734303</v>
      </c>
      <c r="F8" s="52">
        <f>IFERROR(1-_xlfn.NORM.DIST(_xlfn.NORM.INV(SUM(F10:F11), 0, 1) + 1, 0, 1, TRUE), "")</f>
        <v>0.64945174626079727</v>
      </c>
      <c r="G8" s="52">
        <f>IFERROR(1-_xlfn.NORM.DIST(_xlfn.NORM.INV(SUM(G10:G11), 0, 1) + 1, 0, 1, TRUE), "")</f>
        <v>0.75907853255711255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0.21417638478085715</v>
      </c>
      <c r="D9" s="52">
        <f>IFERROR(_xlfn.NORM.DIST(_xlfn.NORM.INV(SUM(D10:D11), 0, 1) + 1, 0, 1, TRUE) - SUM(D10:D11), "")</f>
        <v>0.21417638478085715</v>
      </c>
      <c r="E9" s="52">
        <f>IFERROR(_xlfn.NORM.DIST(_xlfn.NORM.INV(SUM(E10:E11), 0, 1) + 1, 0, 1, TRUE) - SUM(E10:E11), "")</f>
        <v>0.27129681052656973</v>
      </c>
      <c r="F9" s="52">
        <f>IFERROR(_xlfn.NORM.DIST(_xlfn.NORM.INV(SUM(F10:F11), 0, 1) + 1, 0, 1, TRUE) - SUM(F10:F11), "")</f>
        <v>0.26734463753920273</v>
      </c>
      <c r="G9" s="52">
        <f>IFERROR(_xlfn.NORM.DIST(_xlfn.NORM.INV(SUM(G10:G11), 0, 1) + 1, 0, 1, TRUE) - SUM(G10:G11), "")</f>
        <v>0.19666938104288745</v>
      </c>
    </row>
    <row r="10" spans="1:15" ht="15.75" customHeight="1" x14ac:dyDescent="0.2">
      <c r="B10" s="5" t="s">
        <v>119</v>
      </c>
      <c r="C10" s="45">
        <v>2.8096746999999998E-2</v>
      </c>
      <c r="D10" s="53">
        <v>2.8096746999999998E-2</v>
      </c>
      <c r="E10" s="53">
        <v>6.3847927999999998E-2</v>
      </c>
      <c r="F10" s="53">
        <v>7.6616416000000007E-2</v>
      </c>
      <c r="G10" s="53">
        <v>3.5812377999999999E-2</v>
      </c>
    </row>
    <row r="11" spans="1:15" ht="15.75" customHeight="1" x14ac:dyDescent="0.2">
      <c r="B11" s="5" t="s">
        <v>120</v>
      </c>
      <c r="C11" s="45">
        <v>2.4115471999999999E-2</v>
      </c>
      <c r="D11" s="53">
        <v>2.4115471999999999E-2</v>
      </c>
      <c r="E11" s="53">
        <v>2.2182381000000001E-2</v>
      </c>
      <c r="F11" s="53">
        <v>6.5872001999999997E-3</v>
      </c>
      <c r="G11" s="53">
        <v>8.4397084000000008E-3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0.88048884075</v>
      </c>
      <c r="D14" s="54">
        <v>0.87291714786499996</v>
      </c>
      <c r="E14" s="54">
        <v>0.87291714786499996</v>
      </c>
      <c r="F14" s="54">
        <v>0.76156848676900002</v>
      </c>
      <c r="G14" s="54">
        <v>0.76156848676900002</v>
      </c>
      <c r="H14" s="45">
        <v>0.61399999999999999</v>
      </c>
      <c r="I14" s="55">
        <v>0.61399999999999999</v>
      </c>
      <c r="J14" s="55">
        <v>0.61399999999999999</v>
      </c>
      <c r="K14" s="55">
        <v>0.61399999999999999</v>
      </c>
      <c r="L14" s="45">
        <v>0.47699999999999998</v>
      </c>
      <c r="M14" s="55">
        <v>0.47699999999999998</v>
      </c>
      <c r="N14" s="55">
        <v>0.47699999999999998</v>
      </c>
      <c r="O14" s="55">
        <v>0.47699999999999998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0.37117535375120697</v>
      </c>
      <c r="D15" s="52">
        <f t="shared" si="0"/>
        <v>0.36798346118537789</v>
      </c>
      <c r="E15" s="52">
        <f t="shared" si="0"/>
        <v>0.36798346118537789</v>
      </c>
      <c r="F15" s="52">
        <f t="shared" si="0"/>
        <v>0.32104376500839255</v>
      </c>
      <c r="G15" s="52">
        <f t="shared" si="0"/>
        <v>0.32104376500839255</v>
      </c>
      <c r="H15" s="52">
        <f t="shared" si="0"/>
        <v>0.258835384</v>
      </c>
      <c r="I15" s="52">
        <f t="shared" si="0"/>
        <v>0.258835384</v>
      </c>
      <c r="J15" s="52">
        <f t="shared" si="0"/>
        <v>0.258835384</v>
      </c>
      <c r="K15" s="52">
        <f t="shared" si="0"/>
        <v>0.258835384</v>
      </c>
      <c r="L15" s="52">
        <f t="shared" si="0"/>
        <v>0.20108221199999998</v>
      </c>
      <c r="M15" s="52">
        <f t="shared" si="0"/>
        <v>0.20108221199999998</v>
      </c>
      <c r="N15" s="52">
        <f t="shared" si="0"/>
        <v>0.20108221199999998</v>
      </c>
      <c r="O15" s="52">
        <f t="shared" si="0"/>
        <v>0.20108221199999998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iva20oF5/Tpwp88OmsxpW6CMLZkzwnEXsuPXWOg84q0VbEMaxDHbR3yigmlKi3kNwYavB+VRxXmJNJQ/JIhAVg==" saltValue="L/hVADJnULLKqYTaagty5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0.85698930000000006</v>
      </c>
      <c r="D2" s="53">
        <v>0.61859039999999998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4.8051379999999998E-2</v>
      </c>
      <c r="D3" s="53">
        <v>0.16119710000000001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8.3939330000000006E-2</v>
      </c>
      <c r="D4" s="53">
        <v>0.21219060000000001</v>
      </c>
      <c r="E4" s="53">
        <v>0.98479819297790494</v>
      </c>
      <c r="F4" s="53">
        <v>0.82045757770538297</v>
      </c>
      <c r="G4" s="53">
        <v>0</v>
      </c>
    </row>
    <row r="5" spans="1:7" x14ac:dyDescent="0.2">
      <c r="B5" s="3" t="s">
        <v>132</v>
      </c>
      <c r="C5" s="52">
        <v>1.102004E-2</v>
      </c>
      <c r="D5" s="52">
        <v>8.0218990000000007E-3</v>
      </c>
      <c r="E5" s="52">
        <f>1-SUM(E2:E4)</f>
        <v>1.520180702209506E-2</v>
      </c>
      <c r="F5" s="52">
        <f>1-SUM(F2:F4)</f>
        <v>0.17954242229461703</v>
      </c>
      <c r="G5" s="52">
        <f>1-SUM(G2:G4)</f>
        <v>1</v>
      </c>
    </row>
  </sheetData>
  <sheetProtection algorithmName="SHA-512" hashValue="6BVsqlsYdEhg9BcQH9VCmmZNXEO8Nz+EEZx8FePJbm450ws4p63qlRetQgBRTy/9DgXlA4+R1vWUOvuv93OcfA==" saltValue="5V9BPJgBqICtqmKEi9cbz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63dW9+wRQ3ZPpuddW1RC+XsL0pQBJLEaZOcmc45NCCJoAb4Of50vO35BHZl+Y7EbKRVcPfqGyfqMBst588mRw==" saltValue="vKLL9hn1SCFkxMcFIVT3K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+90BHkb1+KGAiQ+rs71O/TdTIyAtvSbTJRA3mj1FQ+8p3L7+VEpyTI68OeTct69HeKxdNilfd2yAwL7bytA42A==" saltValue="mubvWyGwpdfv4dCGv1ODo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MWxzeIqN5GQHfoa4mR/39muGTchiYyerw1voecRPxtNwJvwJSKlypj0dKTZ39BiBKoWy32LigVMZAEYvJwnhQA==" saltValue="H5KFXBuKQ/oIUonbeMuHg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hVa7nAVeIcgnoGSIrN3+YxYKfgu3JM+aL7MQhgNFKlf07PJ4i5Q7MlMNDl/T+XqmmhZviCe46YWwrHdXjgnD1A==" saltValue="3UVWcqc/6tLlxriB8LeFx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2023-01-25T12:51:30Z</dcterms:modified>
</cp:coreProperties>
</file>