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E8170DA0-346B-4E82-96C3-A05F5C0A505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I39" i="2"/>
  <c r="H39" i="2"/>
  <c r="G39" i="2"/>
  <c r="H38" i="2"/>
  <c r="I38" i="2" s="1"/>
  <c r="G38" i="2"/>
  <c r="A25" i="2"/>
  <c r="H11" i="2"/>
  <c r="G11" i="2"/>
  <c r="I11" i="2" s="1"/>
  <c r="H10" i="2"/>
  <c r="G10" i="2"/>
  <c r="I10" i="2" s="1"/>
  <c r="H9" i="2"/>
  <c r="G9" i="2"/>
  <c r="I9" i="2" s="1"/>
  <c r="H8" i="2"/>
  <c r="G8" i="2"/>
  <c r="H7" i="2"/>
  <c r="G7" i="2"/>
  <c r="I7" i="2" s="1"/>
  <c r="H6" i="2"/>
  <c r="G6" i="2"/>
  <c r="H5" i="2"/>
  <c r="G5" i="2"/>
  <c r="H4" i="2"/>
  <c r="G4" i="2"/>
  <c r="H3" i="2"/>
  <c r="G3" i="2"/>
  <c r="I3" i="2" s="1"/>
  <c r="H2" i="2"/>
  <c r="G2" i="2"/>
  <c r="I2" i="2" s="1"/>
  <c r="A2" i="2"/>
  <c r="A31" i="2" s="1"/>
  <c r="C33" i="1"/>
  <c r="C20" i="1"/>
  <c r="A27" i="2" l="1"/>
  <c r="A33" i="2"/>
  <c r="I4" i="2"/>
  <c r="A13" i="2"/>
  <c r="A34" i="2"/>
  <c r="A26" i="2"/>
  <c r="A29" i="2"/>
  <c r="A14" i="2"/>
  <c r="A35" i="2"/>
  <c r="I5" i="2"/>
  <c r="A16" i="2"/>
  <c r="A37" i="2"/>
  <c r="A17" i="2"/>
  <c r="A38" i="2"/>
  <c r="A40" i="2"/>
  <c r="I6" i="2"/>
  <c r="A18" i="2"/>
  <c r="A39" i="2"/>
  <c r="A3" i="2"/>
  <c r="A30" i="2"/>
  <c r="A32" i="2"/>
  <c r="A21" i="2"/>
  <c r="A22" i="2"/>
  <c r="A19" i="2"/>
  <c r="I8" i="2"/>
  <c r="A24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<sst xmlns="http://schemas.openxmlformats.org/spreadsheetml/2006/main" count="2092" uniqueCount="337">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</sst>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6586378</v>
      </c>
    </row>
    <row r="8" spans="1:3" ht="15" customHeight="1" x14ac:dyDescent="0.2">
      <c r="B8" s="5" t="s">
        <v>19</v>
      </c>
      <c r="C8" s="44">
        <v>1E-3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0.8498191070556641</v>
      </c>
    </row>
    <row r="11" spans="1:3" ht="15" customHeight="1" x14ac:dyDescent="0.2">
      <c r="B11" s="5" t="s">
        <v>22</v>
      </c>
      <c r="C11" s="45">
        <v>0.88900000000000001</v>
      </c>
    </row>
    <row r="12" spans="1:3" ht="15" customHeight="1" x14ac:dyDescent="0.2">
      <c r="B12" s="5" t="s">
        <v>23</v>
      </c>
      <c r="C12" s="45">
        <v>0.373</v>
      </c>
    </row>
    <row r="13" spans="1:3" ht="15" customHeight="1" x14ac:dyDescent="0.2">
      <c r="B13" s="5" t="s">
        <v>24</v>
      </c>
      <c r="C13" s="45">
        <v>0.40300000000000002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7.0099999999999996E-2</v>
      </c>
    </row>
    <row r="24" spans="1:3" ht="15" customHeight="1" x14ac:dyDescent="0.2">
      <c r="B24" s="15" t="s">
        <v>33</v>
      </c>
      <c r="C24" s="45">
        <v>0.54359999999999997</v>
      </c>
    </row>
    <row r="25" spans="1:3" ht="15" customHeight="1" x14ac:dyDescent="0.2">
      <c r="B25" s="15" t="s">
        <v>34</v>
      </c>
      <c r="C25" s="45">
        <v>0.36299999999999999</v>
      </c>
    </row>
    <row r="26" spans="1:3" ht="15" customHeight="1" x14ac:dyDescent="0.2">
      <c r="B26" s="15" t="s">
        <v>35</v>
      </c>
      <c r="C26" s="45">
        <v>2.3300000000000001E-2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0.34186433168632502</v>
      </c>
    </row>
    <row r="30" spans="1:3" ht="14.25" customHeight="1" x14ac:dyDescent="0.2">
      <c r="B30" s="25" t="s">
        <v>38</v>
      </c>
      <c r="C30" s="99">
        <v>8.608449496655661E-2</v>
      </c>
    </row>
    <row r="31" spans="1:3" ht="14.25" customHeight="1" x14ac:dyDescent="0.2">
      <c r="B31" s="25" t="s">
        <v>39</v>
      </c>
      <c r="C31" s="99">
        <v>9.0131869666394693E-2</v>
      </c>
    </row>
    <row r="32" spans="1:3" ht="14.25" customHeight="1" x14ac:dyDescent="0.2">
      <c r="B32" s="25" t="s">
        <v>40</v>
      </c>
      <c r="C32" s="99">
        <v>0.481919303680723</v>
      </c>
    </row>
    <row r="33" spans="1:5" ht="13.15" customHeight="1" x14ac:dyDescent="0.2">
      <c r="B33" s="27" t="s">
        <v>41</v>
      </c>
      <c r="C33" s="48">
        <f>SUM(C29:C32)</f>
        <v>0.99999999999999933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5.2784806391885404</v>
      </c>
    </row>
    <row r="38" spans="1:5" ht="15" customHeight="1" x14ac:dyDescent="0.2">
      <c r="B38" s="11" t="s">
        <v>45</v>
      </c>
      <c r="C38" s="43">
        <v>8.6153282712556596</v>
      </c>
      <c r="D38" s="12"/>
      <c r="E38" s="13"/>
    </row>
    <row r="39" spans="1:5" ht="15" customHeight="1" x14ac:dyDescent="0.2">
      <c r="B39" s="11" t="s">
        <v>46</v>
      </c>
      <c r="C39" s="43">
        <v>10.046388231764</v>
      </c>
      <c r="D39" s="12"/>
      <c r="E39" s="12"/>
    </row>
    <row r="40" spans="1:5" ht="15" customHeight="1" x14ac:dyDescent="0.2">
      <c r="B40" s="11" t="s">
        <v>47</v>
      </c>
      <c r="C40" s="100">
        <v>0.17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4.4318235809999997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2.66874E-2</v>
      </c>
      <c r="D45" s="12"/>
    </row>
    <row r="46" spans="1:5" ht="15.75" customHeight="1" x14ac:dyDescent="0.2">
      <c r="B46" s="11" t="s">
        <v>52</v>
      </c>
      <c r="C46" s="45">
        <v>9.2983700000000002E-2</v>
      </c>
      <c r="D46" s="12"/>
    </row>
    <row r="47" spans="1:5" ht="15.75" customHeight="1" x14ac:dyDescent="0.2">
      <c r="B47" s="11" t="s">
        <v>53</v>
      </c>
      <c r="C47" s="45">
        <v>0.18996379999999999</v>
      </c>
      <c r="D47" s="12"/>
      <c r="E47" s="13"/>
    </row>
    <row r="48" spans="1:5" ht="15" customHeight="1" x14ac:dyDescent="0.2">
      <c r="B48" s="11" t="s">
        <v>54</v>
      </c>
      <c r="C48" s="46">
        <v>0.69036510000000006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2.9</v>
      </c>
      <c r="D51" s="12"/>
    </row>
    <row r="52" spans="1:4" ht="15" customHeight="1" x14ac:dyDescent="0.2">
      <c r="B52" s="11" t="s">
        <v>57</v>
      </c>
      <c r="C52" s="100">
        <v>2.9</v>
      </c>
    </row>
    <row r="53" spans="1:4" ht="15.75" customHeight="1" x14ac:dyDescent="0.2">
      <c r="B53" s="11" t="s">
        <v>58</v>
      </c>
      <c r="C53" s="100">
        <v>2.9</v>
      </c>
    </row>
    <row r="54" spans="1:4" ht="15.75" customHeight="1" x14ac:dyDescent="0.2">
      <c r="B54" s="11" t="s">
        <v>59</v>
      </c>
      <c r="C54" s="100">
        <v>2.9</v>
      </c>
    </row>
    <row r="55" spans="1:4" ht="15.75" customHeight="1" x14ac:dyDescent="0.2">
      <c r="B55" s="11" t="s">
        <v>60</v>
      </c>
      <c r="C55" s="100">
        <v>2.9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2.0689655172413789E-2</v>
      </c>
    </row>
    <row r="59" spans="1:4" ht="15.75" customHeight="1" x14ac:dyDescent="0.2">
      <c r="B59" s="11" t="s">
        <v>63</v>
      </c>
      <c r="C59" s="45">
        <v>0.59711100000000006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0.11396655999999999</v>
      </c>
    </row>
    <row r="63" spans="1:4" ht="15.75" customHeight="1" x14ac:dyDescent="0.2">
      <c r="A63" s="4"/>
    </row>
  </sheetData>
  <sheetProtection algorithmName="SHA-512" hashValue="2Cya21RGHpcsq5BGqo1WbR/0E9aG16L+/24bjKrLnx3XxePX5sFxtcNGa7uwftwAg0qyet95pgEQZNCVvGEewA==" saltValue="Wcl9GV7L5kscCAWYASSf6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0.69610868215869903</v>
      </c>
      <c r="C2" s="98">
        <v>0.95</v>
      </c>
      <c r="D2" s="56">
        <v>100.8838400123179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40.840660619620337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1086.2600399420769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2.9040093126562878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0.215708059500061</v>
      </c>
      <c r="C10" s="98">
        <v>0.95</v>
      </c>
      <c r="D10" s="56">
        <v>13.972960063416251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0.215708059500061</v>
      </c>
      <c r="C11" s="98">
        <v>0.95</v>
      </c>
      <c r="D11" s="56">
        <v>13.972960063416251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0.215708059500061</v>
      </c>
      <c r="C12" s="98">
        <v>0.95</v>
      </c>
      <c r="D12" s="56">
        <v>13.972960063416251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0.215708059500061</v>
      </c>
      <c r="C13" s="98">
        <v>0.95</v>
      </c>
      <c r="D13" s="56">
        <v>13.972960063416251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0.215708059500061</v>
      </c>
      <c r="C14" s="98">
        <v>0.95</v>
      </c>
      <c r="D14" s="56">
        <v>13.972960063416251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0.215708059500061</v>
      </c>
      <c r="C15" s="98">
        <v>0.95</v>
      </c>
      <c r="D15" s="56">
        <v>13.972960063416251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1.6797258633116019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24.839970481111401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24.839970481111401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0.97582390000000008</v>
      </c>
      <c r="C21" s="98">
        <v>0.95</v>
      </c>
      <c r="D21" s="56">
        <v>27.799382182381819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24.616622973147329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4.8798255494888956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0.24666778961809999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0.168238812671066</v>
      </c>
      <c r="C27" s="98">
        <v>0.95</v>
      </c>
      <c r="D27" s="56">
        <v>19.534604961991612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0.97297233962778806</v>
      </c>
      <c r="C29" s="98">
        <v>0.95</v>
      </c>
      <c r="D29" s="56">
        <v>211.45682792792479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0.56632019569628533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3.7054411364622579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3.7084194520624441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0.98875718152611103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RhdX9D2SW8iBJgeemyXlqGUj32qMLoSDLggAZORU5b6zqv0yz79HL/Ged4Bdsmpr8N7DgYSlVmCgOvQjGSFOVw==" saltValue="pbFD1mq4lBB+/feJwX4B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3NrD5CvSON31OYPp/SZxL5uBEnd5fu2+kStRUDamR7OGDCt2m4pdtKHxzE/5YEU2PZrvxVnreM91KUeBVdZ8lw==" saltValue="4oTGhKaIH9orDyB1rrOIZ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dAyX3xhtPS6hEpdHmTS2h+TXbwZu+HlQvBEUkKI/fMUMK8qLe1QA8ozv77W3eACzfuS35Pcju11MKszbuI1J/Q==" saltValue="bJuT0VKRLdFj9gL+vV3j8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">
      <c r="A3" s="3" t="s">
        <v>209</v>
      </c>
      <c r="B3" s="21">
        <f>frac_mam_1month * 2.6</f>
        <v>0.173548232</v>
      </c>
      <c r="C3" s="21">
        <f>frac_mam_1_5months * 2.6</f>
        <v>0.173548232</v>
      </c>
      <c r="D3" s="21">
        <f>frac_mam_6_11months * 2.6</f>
        <v>6.4794191800000012E-2</v>
      </c>
      <c r="E3" s="21">
        <f>frac_mam_12_23months * 2.6</f>
        <v>2.4542515400000003E-2</v>
      </c>
      <c r="F3" s="21">
        <f>frac_mam_24_59months * 2.6</f>
        <v>1.7898596039999999E-2</v>
      </c>
    </row>
    <row r="4" spans="1:6" ht="15.75" customHeight="1" x14ac:dyDescent="0.2">
      <c r="A4" s="3" t="s">
        <v>208</v>
      </c>
      <c r="B4" s="21">
        <f>frac_sam_1month * 2.6</f>
        <v>5.6318347800000002E-2</v>
      </c>
      <c r="C4" s="21">
        <f>frac_sam_1_5months * 2.6</f>
        <v>5.6318347800000002E-2</v>
      </c>
      <c r="D4" s="21">
        <f>frac_sam_6_11months * 2.6</f>
        <v>0</v>
      </c>
      <c r="E4" s="21">
        <f>frac_sam_12_23months * 2.6</f>
        <v>2.418436098E-2</v>
      </c>
      <c r="F4" s="21">
        <f>frac_sam_24_59months * 2.6</f>
        <v>4.0075848799999998E-3</v>
      </c>
    </row>
  </sheetData>
  <sheetProtection algorithmName="SHA-512" hashValue="rzZdlCGwj9Qp3mmngxEavKIBmRjv+BDmvf+WbJ9PtOCCrhdrdVPLKveHhldxTT5WRI6tb5ilytLlKzlrDkK0IQ==" saltValue="qboDWgKJGK+Z352bPKDO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1E-3</v>
      </c>
      <c r="E2" s="60">
        <f>food_insecure</f>
        <v>1E-3</v>
      </c>
      <c r="F2" s="60">
        <f>food_insecure</f>
        <v>1E-3</v>
      </c>
      <c r="G2" s="60">
        <f>food_insecure</f>
        <v>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1E-3</v>
      </c>
      <c r="F5" s="60">
        <f>food_insecure</f>
        <v>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1E-3</v>
      </c>
      <c r="F8" s="60">
        <f>food_insecure</f>
        <v>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1E-3</v>
      </c>
      <c r="F9" s="60">
        <f>food_insecure</f>
        <v>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0.373</v>
      </c>
      <c r="E10" s="60">
        <f>IF(ISBLANK(comm_deliv), frac_children_health_facility,1)</f>
        <v>0.373</v>
      </c>
      <c r="F10" s="60">
        <f>IF(ISBLANK(comm_deliv), frac_children_health_facility,1)</f>
        <v>0.373</v>
      </c>
      <c r="G10" s="60">
        <f>IF(ISBLANK(comm_deliv), frac_children_health_facility,1)</f>
        <v>0.373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1E-3</v>
      </c>
      <c r="I15" s="60">
        <f>food_insecure</f>
        <v>1E-3</v>
      </c>
      <c r="J15" s="60">
        <f>food_insecure</f>
        <v>1E-3</v>
      </c>
      <c r="K15" s="60">
        <f>food_insecure</f>
        <v>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0.88900000000000001</v>
      </c>
      <c r="I18" s="60">
        <f>frac_PW_health_facility</f>
        <v>0.88900000000000001</v>
      </c>
      <c r="J18" s="60">
        <f>frac_PW_health_facility</f>
        <v>0.88900000000000001</v>
      </c>
      <c r="K18" s="60">
        <f>frac_PW_health_facility</f>
        <v>0.88900000000000001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0.40300000000000002</v>
      </c>
      <c r="M24" s="60">
        <f>famplan_unmet_need</f>
        <v>0.40300000000000002</v>
      </c>
      <c r="N24" s="60">
        <f>famplan_unmet_need</f>
        <v>0.40300000000000002</v>
      </c>
      <c r="O24" s="60">
        <f>famplan_unmet_need</f>
        <v>0.40300000000000002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7.3620175530242901E-2</v>
      </c>
      <c r="M25" s="60">
        <f>(1-food_insecure)*(0.49)+food_insecure*(0.7)</f>
        <v>0.49020999999999998</v>
      </c>
      <c r="N25" s="60">
        <f>(1-food_insecure)*(0.49)+food_insecure*(0.7)</f>
        <v>0.49020999999999998</v>
      </c>
      <c r="O25" s="60">
        <f>(1-food_insecure)*(0.49)+food_insecure*(0.7)</f>
        <v>0.49020999999999998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3.155150379867553E-2</v>
      </c>
      <c r="M26" s="60">
        <f>(1-food_insecure)*(0.21)+food_insecure*(0.3)</f>
        <v>0.21009</v>
      </c>
      <c r="N26" s="60">
        <f>(1-food_insecure)*(0.21)+food_insecure*(0.3)</f>
        <v>0.21009</v>
      </c>
      <c r="O26" s="60">
        <f>(1-food_insecure)*(0.21)+food_insecure*(0.3)</f>
        <v>0.21009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4.5009213615417466E-2</v>
      </c>
      <c r="M27" s="60">
        <f>(1-food_insecure)*(0.3)</f>
        <v>0.29969999999999997</v>
      </c>
      <c r="N27" s="60">
        <f>(1-food_insecure)*(0.3)</f>
        <v>0.29969999999999997</v>
      </c>
      <c r="O27" s="60">
        <f>(1-food_insecure)*(0.3)</f>
        <v>0.29969999999999997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0.8498191070556641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vhBhzPs7zuH6FI2kjXm+hu6Pbz2Hw2VWhE8WI7mpp2oSd8ZeDp5lRWU35TM5k3oau2XevH8i9mQwyOU3ldoabQ==" saltValue="DtUnVzKPBPlYglioLJ+M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IGkEpIizPyUcAIKZ1Ldc70WRL+RBwNcVbBTYICiw7bQwQy5J3jLoyhwWVsxQDKmqystnVn/BLFKRhGtBfpRexg==" saltValue="jbbAj17tPz77YWnFvTCaa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ICXmJQMRfCQhPCH3z1dzD1TswrtVmEmzWHn6rIylSQ7TH6PEtKRSA+snpSR7PkpssTY3kRuOIRXAGao35GqFQ==" saltValue="jzRiziLI/pCBkwbg/qRPo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fP9ffZC6RSuRXHtjNnUsv+eDexobXnTE2ippTdO9/Wi0X1Pg4+b3Pf0L1j5LDFJzm8m8VktsPLXJt4/zQHQew==" saltValue="620sDpnWfb8ya9yIe3jgr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dR5jSIKxjsHSkZUbGhQ2+jNuXoITUPgcnqW2+A4JuEaOqg2+BePStfxdor6M1jnWiRaAL7xPJc3OYXHEe2HTw==" saltValue="k6E5gnyPdcU+gXoE1FCyI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/yUfC8b6HN6RVL6b1G86yMLaHDzc1W5m3WqlRLmu3bZQvASnGRfVsuE7PBrCnnaoHCP8nJbUriaiODSd/+R9jw==" saltValue="3+6yJg3gRiRyz2i4z3euI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1263888.0190000001</v>
      </c>
      <c r="C2" s="49">
        <v>3314000</v>
      </c>
      <c r="D2" s="49">
        <v>6508000</v>
      </c>
      <c r="E2" s="49">
        <v>496000</v>
      </c>
      <c r="F2" s="49">
        <v>366000</v>
      </c>
      <c r="G2" s="17">
        <f t="shared" ref="G2:G11" si="0">C2+D2+E2+F2</f>
        <v>10684000</v>
      </c>
      <c r="H2" s="17">
        <f t="shared" ref="H2:H11" si="1">(B2 + stillbirth*B2/(1000-stillbirth))/(1-abortion)</f>
        <v>1442629.8662873399</v>
      </c>
      <c r="I2" s="17">
        <f t="shared" ref="I2:I11" si="2">G2-H2</f>
        <v>9241370.1337126605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1253282.0828</v>
      </c>
      <c r="C3" s="50">
        <v>3290000</v>
      </c>
      <c r="D3" s="50">
        <v>6523000</v>
      </c>
      <c r="E3" s="50">
        <v>509000</v>
      </c>
      <c r="F3" s="50">
        <v>375000</v>
      </c>
      <c r="G3" s="17">
        <f t="shared" si="0"/>
        <v>10697000</v>
      </c>
      <c r="H3" s="17">
        <f t="shared" si="1"/>
        <v>1430524.0150631438</v>
      </c>
      <c r="I3" s="17">
        <f t="shared" si="2"/>
        <v>9266475.9849368557</v>
      </c>
    </row>
    <row r="4" spans="1:9" ht="15.75" customHeight="1" x14ac:dyDescent="0.2">
      <c r="A4" s="5">
        <f t="shared" si="3"/>
        <v>2023</v>
      </c>
      <c r="B4" s="49">
        <v>1240732.2312</v>
      </c>
      <c r="C4" s="50">
        <v>3261000</v>
      </c>
      <c r="D4" s="50">
        <v>6526000</v>
      </c>
      <c r="E4" s="50">
        <v>520000</v>
      </c>
      <c r="F4" s="50">
        <v>384000</v>
      </c>
      <c r="G4" s="17">
        <f t="shared" si="0"/>
        <v>10691000</v>
      </c>
      <c r="H4" s="17">
        <f t="shared" si="1"/>
        <v>1416199.3356109574</v>
      </c>
      <c r="I4" s="17">
        <f t="shared" si="2"/>
        <v>9274800.6643890422</v>
      </c>
    </row>
    <row r="5" spans="1:9" ht="15.75" customHeight="1" x14ac:dyDescent="0.2">
      <c r="A5" s="5">
        <f t="shared" si="3"/>
        <v>2024</v>
      </c>
      <c r="B5" s="49">
        <v>1227488.4288000001</v>
      </c>
      <c r="C5" s="50">
        <v>3235000</v>
      </c>
      <c r="D5" s="50">
        <v>6516000</v>
      </c>
      <c r="E5" s="50">
        <v>528000</v>
      </c>
      <c r="F5" s="50">
        <v>394000</v>
      </c>
      <c r="G5" s="17">
        <f t="shared" si="0"/>
        <v>10673000</v>
      </c>
      <c r="H5" s="17">
        <f t="shared" si="1"/>
        <v>1401082.5652972672</v>
      </c>
      <c r="I5" s="17">
        <f t="shared" si="2"/>
        <v>9271917.4347027335</v>
      </c>
    </row>
    <row r="6" spans="1:9" ht="15.75" customHeight="1" x14ac:dyDescent="0.2">
      <c r="A6" s="5">
        <f t="shared" si="3"/>
        <v>2025</v>
      </c>
      <c r="B6" s="49">
        <v>1214448.625</v>
      </c>
      <c r="C6" s="50">
        <v>3214000</v>
      </c>
      <c r="D6" s="50">
        <v>6497000</v>
      </c>
      <c r="E6" s="50">
        <v>530000</v>
      </c>
      <c r="F6" s="50">
        <v>405000</v>
      </c>
      <c r="G6" s="17">
        <f t="shared" si="0"/>
        <v>10646000</v>
      </c>
      <c r="H6" s="17">
        <f t="shared" si="1"/>
        <v>1386198.6435181119</v>
      </c>
      <c r="I6" s="17">
        <f t="shared" si="2"/>
        <v>9259801.3564818874</v>
      </c>
    </row>
    <row r="7" spans="1:9" ht="15.75" customHeight="1" x14ac:dyDescent="0.2">
      <c r="A7" s="5">
        <f t="shared" si="3"/>
        <v>2026</v>
      </c>
      <c r="B7" s="49">
        <v>1205093.5728</v>
      </c>
      <c r="C7" s="50">
        <v>3202000</v>
      </c>
      <c r="D7" s="50">
        <v>6473000</v>
      </c>
      <c r="E7" s="50">
        <v>527000</v>
      </c>
      <c r="F7" s="50">
        <v>417000</v>
      </c>
      <c r="G7" s="17">
        <f t="shared" si="0"/>
        <v>10619000</v>
      </c>
      <c r="H7" s="17">
        <f t="shared" si="1"/>
        <v>1375520.5790839896</v>
      </c>
      <c r="I7" s="17">
        <f t="shared" si="2"/>
        <v>9243479.4209160097</v>
      </c>
    </row>
    <row r="8" spans="1:9" ht="15.75" customHeight="1" x14ac:dyDescent="0.2">
      <c r="A8" s="5">
        <f t="shared" si="3"/>
        <v>2027</v>
      </c>
      <c r="B8" s="49">
        <v>1195992.3959999999</v>
      </c>
      <c r="C8" s="50">
        <v>3195000</v>
      </c>
      <c r="D8" s="50">
        <v>6441000</v>
      </c>
      <c r="E8" s="50">
        <v>521000</v>
      </c>
      <c r="F8" s="50">
        <v>429000</v>
      </c>
      <c r="G8" s="17">
        <f t="shared" si="0"/>
        <v>10586000</v>
      </c>
      <c r="H8" s="17">
        <f t="shared" si="1"/>
        <v>1365132.2936720988</v>
      </c>
      <c r="I8" s="17">
        <f t="shared" si="2"/>
        <v>9220867.7063279003</v>
      </c>
    </row>
    <row r="9" spans="1:9" ht="15.75" customHeight="1" x14ac:dyDescent="0.2">
      <c r="A9" s="5">
        <f t="shared" si="3"/>
        <v>2028</v>
      </c>
      <c r="B9" s="49">
        <v>1187089.1103999999</v>
      </c>
      <c r="C9" s="50">
        <v>3189000</v>
      </c>
      <c r="D9" s="50">
        <v>6404000</v>
      </c>
      <c r="E9" s="50">
        <v>511000</v>
      </c>
      <c r="F9" s="50">
        <v>443000</v>
      </c>
      <c r="G9" s="17">
        <f t="shared" si="0"/>
        <v>10547000</v>
      </c>
      <c r="H9" s="17">
        <f t="shared" si="1"/>
        <v>1354969.8856726871</v>
      </c>
      <c r="I9" s="17">
        <f t="shared" si="2"/>
        <v>9192030.1143273134</v>
      </c>
    </row>
    <row r="10" spans="1:9" ht="15.75" customHeight="1" x14ac:dyDescent="0.2">
      <c r="A10" s="5">
        <f t="shared" si="3"/>
        <v>2029</v>
      </c>
      <c r="B10" s="49">
        <v>1178209.2420000001</v>
      </c>
      <c r="C10" s="50">
        <v>3179000</v>
      </c>
      <c r="D10" s="50">
        <v>6368000</v>
      </c>
      <c r="E10" s="50">
        <v>501000</v>
      </c>
      <c r="F10" s="50">
        <v>456000</v>
      </c>
      <c r="G10" s="17">
        <f t="shared" si="0"/>
        <v>10504000</v>
      </c>
      <c r="H10" s="17">
        <f t="shared" si="1"/>
        <v>1344834.2065856454</v>
      </c>
      <c r="I10" s="17">
        <f t="shared" si="2"/>
        <v>9159165.7934143543</v>
      </c>
    </row>
    <row r="11" spans="1:9" ht="15.75" customHeight="1" x14ac:dyDescent="0.2">
      <c r="A11" s="5">
        <f t="shared" si="3"/>
        <v>2030</v>
      </c>
      <c r="B11" s="49">
        <v>1169226.4080000001</v>
      </c>
      <c r="C11" s="50">
        <v>3163000</v>
      </c>
      <c r="D11" s="50">
        <v>6335000</v>
      </c>
      <c r="E11" s="50">
        <v>491000</v>
      </c>
      <c r="F11" s="50">
        <v>469000</v>
      </c>
      <c r="G11" s="17">
        <f t="shared" si="0"/>
        <v>10458000</v>
      </c>
      <c r="H11" s="17">
        <f t="shared" si="1"/>
        <v>1334581.0002750463</v>
      </c>
      <c r="I11" s="17">
        <f t="shared" si="2"/>
        <v>9123418.9997249544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2ehUesV9onbOQ9UUDK/EvEBr/w5rUljBlpxxXhoW3Mr9eXOWpyL5L6k8SKb1WTtyWxvTIo+nbHfC/dsJtQl7g==" saltValue="xRynSvwaHu5QOLSVBibCA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klvftdAiVcJo4MIQgBCZumIoj2rJoXrlXwBOnyJj2gcpmbRr3HQpDKhZzl7ka5Jr5A+T65VKUWyN+CdiezTptA==" saltValue="R/oFB3rW9NBmIP24LPtVI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3Uj34R7zB2bY63y1ghgsDl3me/u8lsXlooCqkMfN8G0FSbKYwk8c5uC7bfNHZ3W2K3sJ+W6I8e4PSgsG8rxPRA==" saltValue="07LQzZ+qPGu3SIwJ4F43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NG6V0YMOzs9kotfZPxSFWUTUm5BwOq0W/MLl6NMj1uwOnGFsgHsMxZDcNWUC/m61Gtr97uEsSOcqkCK7UH7sEw==" saltValue="qTn9oFSIAR/H09ykAqq32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ewZQoTdPZ3U06lZ52Ne7mFVVKtyTZ0jtd0GNZ36rlVBSwbU70z0y1jEi0Aygh9Ntly2WAw2YpvUqqoQoMX8IZg==" saltValue="4hRHWWf2870RfE4HLNkxs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RFdU9hD7uc+e2senYVQl1LcyHAXwUtfnQPpiVbxyGGmegI8Md1no4FECSsAU/nirxigOTWlnOT1ZEvf9Iq0XA==" saltValue="VLwoxE751qw6EKU7HlZJ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N/AD06uDSfezOsSqzQhQLswspMJpfg5d+Dz5Tj8u59q1R8aJq5Sag59rvkhxTqO4udm7/My08MfgBThVuKqvAA==" saltValue="WD8u4Q8RhDv8mIfrw9qG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+V8VP5AehKjS7emjNsDm3Rq+lVk+MYP+SOoib8YkdBOEHHjusd936RDbu/9D3pOHKOV/Lxn9nD1ZhwWVDokPOA==" saltValue="8cEXXmqPAitTajKacdCRS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21c88o91i7/21Ni1MbCZoAE9GboQq8f8KMCNGatMLsI+ppvRYSZk2zrnV8cv9/4pIrfBPlehCjXobirlFAWLTw==" saltValue="Cfm1oLpNNBjnsRE2qw2E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VOnJGNQQF8ubaLC3l8gSdJA3MeaB21B2ivx+R3eugWN8V1XLA9xZwazFOxOKYhhS2ek69PCP2pbcs4BVde6IVg==" saltValue="+AeIDxDCpO9NZLnDcNZo+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6.5780787918312059E-2</v>
      </c>
    </row>
    <row r="5" spans="1:8" ht="15.75" customHeight="1" x14ac:dyDescent="0.2">
      <c r="B5" s="19" t="s">
        <v>80</v>
      </c>
      <c r="C5" s="101">
        <v>1.324948228162641E-2</v>
      </c>
    </row>
    <row r="6" spans="1:8" ht="15.75" customHeight="1" x14ac:dyDescent="0.2">
      <c r="B6" s="19" t="s">
        <v>81</v>
      </c>
      <c r="C6" s="101">
        <v>7.7491190228652154E-2</v>
      </c>
    </row>
    <row r="7" spans="1:8" ht="15.75" customHeight="1" x14ac:dyDescent="0.2">
      <c r="B7" s="19" t="s">
        <v>82</v>
      </c>
      <c r="C7" s="101">
        <v>0.40754536158370702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0.30498340206693358</v>
      </c>
    </row>
    <row r="10" spans="1:8" ht="15.75" customHeight="1" x14ac:dyDescent="0.2">
      <c r="B10" s="19" t="s">
        <v>85</v>
      </c>
      <c r="C10" s="101">
        <v>0.13094977592076881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1.8973157017512472E-2</v>
      </c>
      <c r="D14" s="55">
        <v>1.8973157017512472E-2</v>
      </c>
      <c r="E14" s="55">
        <v>1.8973157017512472E-2</v>
      </c>
      <c r="F14" s="55">
        <v>1.8973157017512472E-2</v>
      </c>
    </row>
    <row r="15" spans="1:8" ht="15.75" customHeight="1" x14ac:dyDescent="0.2">
      <c r="B15" s="19" t="s">
        <v>88</v>
      </c>
      <c r="C15" s="101">
        <v>7.1740472660633589E-2</v>
      </c>
      <c r="D15" s="101">
        <v>7.1740472660633589E-2</v>
      </c>
      <c r="E15" s="101">
        <v>7.1740472660633589E-2</v>
      </c>
      <c r="F15" s="101">
        <v>7.1740472660633589E-2</v>
      </c>
    </row>
    <row r="16" spans="1:8" ht="15.75" customHeight="1" x14ac:dyDescent="0.2">
      <c r="B16" s="19" t="s">
        <v>89</v>
      </c>
      <c r="C16" s="101">
        <v>9.228266138645299E-3</v>
      </c>
      <c r="D16" s="101">
        <v>9.228266138645299E-3</v>
      </c>
      <c r="E16" s="101">
        <v>9.228266138645299E-3</v>
      </c>
      <c r="F16" s="101">
        <v>9.228266138645299E-3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9.5464713926239064E-2</v>
      </c>
      <c r="D21" s="101">
        <v>9.5464713926239064E-2</v>
      </c>
      <c r="E21" s="101">
        <v>9.5464713926239064E-2</v>
      </c>
      <c r="F21" s="101">
        <v>9.5464713926239064E-2</v>
      </c>
    </row>
    <row r="22" spans="1:8" ht="15.75" customHeight="1" x14ac:dyDescent="0.2">
      <c r="B22" s="19" t="s">
        <v>95</v>
      </c>
      <c r="C22" s="101">
        <v>0.80459339025696952</v>
      </c>
      <c r="D22" s="101">
        <v>0.80459339025696952</v>
      </c>
      <c r="E22" s="101">
        <v>0.80459339025696952</v>
      </c>
      <c r="F22" s="101">
        <v>0.80459339025696952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3.9700850000000003E-2</v>
      </c>
    </row>
    <row r="27" spans="1:8" ht="15.75" customHeight="1" x14ac:dyDescent="0.2">
      <c r="B27" s="19" t="s">
        <v>102</v>
      </c>
      <c r="C27" s="101">
        <v>2.3007410999999998E-2</v>
      </c>
    </row>
    <row r="28" spans="1:8" ht="15.75" customHeight="1" x14ac:dyDescent="0.2">
      <c r="B28" s="19" t="s">
        <v>103</v>
      </c>
      <c r="C28" s="101">
        <v>0.18789456399999999</v>
      </c>
    </row>
    <row r="29" spans="1:8" ht="15.75" customHeight="1" x14ac:dyDescent="0.2">
      <c r="B29" s="19" t="s">
        <v>104</v>
      </c>
      <c r="C29" s="101">
        <v>0.14356665699999999</v>
      </c>
    </row>
    <row r="30" spans="1:8" ht="15.75" customHeight="1" x14ac:dyDescent="0.2">
      <c r="B30" s="19" t="s">
        <v>2</v>
      </c>
      <c r="C30" s="101">
        <v>5.2092121999999998E-2</v>
      </c>
    </row>
    <row r="31" spans="1:8" ht="15.75" customHeight="1" x14ac:dyDescent="0.2">
      <c r="B31" s="19" t="s">
        <v>105</v>
      </c>
      <c r="C31" s="101">
        <v>2.4076997999999999E-2</v>
      </c>
    </row>
    <row r="32" spans="1:8" ht="15.75" customHeight="1" x14ac:dyDescent="0.2">
      <c r="B32" s="19" t="s">
        <v>106</v>
      </c>
      <c r="C32" s="101">
        <v>8.5285021000000003E-2</v>
      </c>
    </row>
    <row r="33" spans="2:3" ht="15.75" customHeight="1" x14ac:dyDescent="0.2">
      <c r="B33" s="19" t="s">
        <v>107</v>
      </c>
      <c r="C33" s="101">
        <v>0.223807599</v>
      </c>
    </row>
    <row r="34" spans="2:3" ht="15.75" customHeight="1" x14ac:dyDescent="0.2">
      <c r="B34" s="19" t="s">
        <v>108</v>
      </c>
      <c r="C34" s="101">
        <v>0.22056877799999999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U+eDyowWp4nksOQMKBqCXUEFgt5GzOX3XIBjavXy7WnzlL1QV/UMyMjWi3gwyuzq/8vU1dOA6TrDGtRcLhN5xw==" saltValue="SKk8HLovfXtRG5WShJn3K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0.54900253810195621</v>
      </c>
      <c r="D2" s="52">
        <f>IFERROR(1-_xlfn.NORM.DIST(_xlfn.NORM.INV(SUM(D4:D5), 0, 1) + 1, 0, 1, TRUE), "")</f>
        <v>0.54900253810195621</v>
      </c>
      <c r="E2" s="52">
        <f>IFERROR(1-_xlfn.NORM.DIST(_xlfn.NORM.INV(SUM(E4:E5), 0, 1) + 1, 0, 1, TRUE), "")</f>
        <v>0.73365039545316124</v>
      </c>
      <c r="F2" s="52">
        <f>IFERROR(1-_xlfn.NORM.DIST(_xlfn.NORM.INV(SUM(F4:F5), 0, 1) + 1, 0, 1, TRUE), "")</f>
        <v>0.61490870815438781</v>
      </c>
      <c r="G2" s="52">
        <f>IFERROR(1-_xlfn.NORM.DIST(_xlfn.NORM.INV(SUM(G4:G5), 0, 1) + 1, 0, 1, TRUE), "")</f>
        <v>0.5979591492284243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0.32030879389804379</v>
      </c>
      <c r="D3" s="52">
        <f>IFERROR(_xlfn.NORM.DIST(_xlfn.NORM.INV(SUM(D4:D5), 0, 1) + 1, 0, 1, TRUE) - SUM(D4:D5), "")</f>
        <v>0.32030879389804379</v>
      </c>
      <c r="E3" s="52">
        <f>IFERROR(_xlfn.NORM.DIST(_xlfn.NORM.INV(SUM(E4:E5), 0, 1) + 1, 0, 1, TRUE) - SUM(E4:E5), "")</f>
        <v>0.21415006154683869</v>
      </c>
      <c r="F3" s="52">
        <f>IFERROR(_xlfn.NORM.DIST(_xlfn.NORM.INV(SUM(F4:F5), 0, 1) + 1, 0, 1, TRUE) - SUM(F4:F5), "")</f>
        <v>0.28693627984561221</v>
      </c>
      <c r="G3" s="52">
        <f>IFERROR(_xlfn.NORM.DIST(_xlfn.NORM.INV(SUM(G4:G5), 0, 1) + 1, 0, 1, TRUE) - SUM(G4:G5), "")</f>
        <v>0.29603779477157571</v>
      </c>
    </row>
    <row r="4" spans="1:15" ht="15.75" customHeight="1" x14ac:dyDescent="0.2">
      <c r="B4" s="5" t="s">
        <v>114</v>
      </c>
      <c r="C4" s="45">
        <v>6.1346827E-2</v>
      </c>
      <c r="D4" s="53">
        <v>6.1346827E-2</v>
      </c>
      <c r="E4" s="53">
        <v>4.1452804000000003E-2</v>
      </c>
      <c r="F4" s="53">
        <v>6.262425399999999E-2</v>
      </c>
      <c r="G4" s="53">
        <v>6.9781623000000001E-2</v>
      </c>
    </row>
    <row r="5" spans="1:15" ht="15.75" customHeight="1" x14ac:dyDescent="0.2">
      <c r="B5" s="5" t="s">
        <v>115</v>
      </c>
      <c r="C5" s="45">
        <v>6.9341841000000001E-2</v>
      </c>
      <c r="D5" s="53">
        <v>6.9341841000000001E-2</v>
      </c>
      <c r="E5" s="53">
        <v>1.0746739E-2</v>
      </c>
      <c r="F5" s="53">
        <v>3.5530758000000003E-2</v>
      </c>
      <c r="G5" s="53">
        <v>3.6221432999999997E-2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0.63705946454588847</v>
      </c>
      <c r="D8" s="52">
        <f>IFERROR(1-_xlfn.NORM.DIST(_xlfn.NORM.INV(SUM(D10:D11), 0, 1) + 1, 0, 1, TRUE), "")</f>
        <v>0.63705946454588847</v>
      </c>
      <c r="E8" s="52">
        <f>IFERROR(1-_xlfn.NORM.DIST(_xlfn.NORM.INV(SUM(E10:E11), 0, 1) + 1, 0, 1, TRUE), "")</f>
        <v>0.83180439497187475</v>
      </c>
      <c r="F8" s="52">
        <f>IFERROR(1-_xlfn.NORM.DIST(_xlfn.NORM.INV(SUM(F10:F11), 0, 1) + 1, 0, 1, TRUE), "")</f>
        <v>0.8600340937545069</v>
      </c>
      <c r="G8" s="52">
        <f>IFERROR(1-_xlfn.NORM.DIST(_xlfn.NORM.INV(SUM(G10:G11), 0, 1) + 1, 0, 1, TRUE), "")</f>
        <v>0.91772716951429534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0.27453031245411152</v>
      </c>
      <c r="D9" s="52">
        <f>IFERROR(_xlfn.NORM.DIST(_xlfn.NORM.INV(SUM(D10:D11), 0, 1) + 1, 0, 1, TRUE) - SUM(D10:D11), "")</f>
        <v>0.27453031245411152</v>
      </c>
      <c r="E9" s="52">
        <f>IFERROR(_xlfn.NORM.DIST(_xlfn.NORM.INV(SUM(E10:E11), 0, 1) + 1, 0, 1, TRUE) - SUM(E10:E11), "")</f>
        <v>0.14327476202812525</v>
      </c>
      <c r="F9" s="52">
        <f>IFERROR(_xlfn.NORM.DIST(_xlfn.NORM.INV(SUM(F10:F11), 0, 1) + 1, 0, 1, TRUE) - SUM(F10:F11), "")</f>
        <v>0.12122479994549312</v>
      </c>
      <c r="G9" s="52">
        <f>IFERROR(_xlfn.NORM.DIST(_xlfn.NORM.INV(SUM(G10:G11), 0, 1) + 1, 0, 1, TRUE) - SUM(G10:G11), "")</f>
        <v>7.3847376285704619E-2</v>
      </c>
    </row>
    <row r="10" spans="1:15" ht="15.75" customHeight="1" x14ac:dyDescent="0.2">
      <c r="B10" s="5" t="s">
        <v>119</v>
      </c>
      <c r="C10" s="45">
        <v>6.6749320000000001E-2</v>
      </c>
      <c r="D10" s="53">
        <v>6.6749320000000001E-2</v>
      </c>
      <c r="E10" s="53">
        <v>2.4920843000000002E-2</v>
      </c>
      <c r="F10" s="53">
        <v>9.4394290000000009E-3</v>
      </c>
      <c r="G10" s="53">
        <v>6.8840754000000001E-3</v>
      </c>
    </row>
    <row r="11" spans="1:15" ht="15.75" customHeight="1" x14ac:dyDescent="0.2">
      <c r="B11" s="5" t="s">
        <v>120</v>
      </c>
      <c r="C11" s="45">
        <v>2.1660902999999999E-2</v>
      </c>
      <c r="D11" s="53">
        <v>2.1660902999999999E-2</v>
      </c>
      <c r="E11" s="53">
        <v>0</v>
      </c>
      <c r="F11" s="53">
        <v>9.3016773000000001E-3</v>
      </c>
      <c r="G11" s="53">
        <v>1.5413788E-3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0.22474285975</v>
      </c>
      <c r="D14" s="54">
        <v>0.234737514727</v>
      </c>
      <c r="E14" s="54">
        <v>0.234737514727</v>
      </c>
      <c r="F14" s="54">
        <v>0.223199456702</v>
      </c>
      <c r="G14" s="54">
        <v>0.223199456702</v>
      </c>
      <c r="H14" s="45">
        <v>0.34399999999999997</v>
      </c>
      <c r="I14" s="55">
        <v>0.34399999999999997</v>
      </c>
      <c r="J14" s="55">
        <v>0.34399999999999997</v>
      </c>
      <c r="K14" s="55">
        <v>0.34399999999999997</v>
      </c>
      <c r="L14" s="45">
        <v>0.307</v>
      </c>
      <c r="M14" s="55">
        <v>0.307</v>
      </c>
      <c r="N14" s="55">
        <v>0.307</v>
      </c>
      <c r="O14" s="55">
        <v>0.307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0.13419643372818227</v>
      </c>
      <c r="D15" s="52">
        <f t="shared" si="0"/>
        <v>0.14016435215615372</v>
      </c>
      <c r="E15" s="52">
        <f t="shared" si="0"/>
        <v>0.14016435215615372</v>
      </c>
      <c r="F15" s="52">
        <f t="shared" si="0"/>
        <v>0.13327485079078794</v>
      </c>
      <c r="G15" s="52">
        <f t="shared" si="0"/>
        <v>0.13327485079078794</v>
      </c>
      <c r="H15" s="52">
        <f t="shared" si="0"/>
        <v>0.20540618399999999</v>
      </c>
      <c r="I15" s="52">
        <f t="shared" si="0"/>
        <v>0.20540618399999999</v>
      </c>
      <c r="J15" s="52">
        <f t="shared" si="0"/>
        <v>0.20540618399999999</v>
      </c>
      <c r="K15" s="52">
        <f t="shared" si="0"/>
        <v>0.20540618399999999</v>
      </c>
      <c r="L15" s="52">
        <f t="shared" si="0"/>
        <v>0.18331307700000002</v>
      </c>
      <c r="M15" s="52">
        <f t="shared" si="0"/>
        <v>0.18331307700000002</v>
      </c>
      <c r="N15" s="52">
        <f t="shared" si="0"/>
        <v>0.18331307700000002</v>
      </c>
      <c r="O15" s="52">
        <f t="shared" si="0"/>
        <v>0.18331307700000002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pEL/iuh+Zt6iQi8LgxfxQCGsgZRgUXANRR3g4MAWWUjWdRwZa8rhEYg3TusdeP+rAQ40zQHTUuaA3/AkmFr6LA==" saltValue="udEmQnc4OvRpMXnt6sOo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0.59449800000000008</v>
      </c>
      <c r="D2" s="53">
        <v>0.29309990000000002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9.7630759999999997E-2</v>
      </c>
      <c r="D3" s="53">
        <v>0.23736940000000001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0.25931979999999999</v>
      </c>
      <c r="D4" s="53">
        <v>0.4031151</v>
      </c>
      <c r="E4" s="53">
        <v>0.74230986833572399</v>
      </c>
      <c r="F4" s="53">
        <v>0.37930190563201899</v>
      </c>
      <c r="G4" s="53">
        <v>0</v>
      </c>
    </row>
    <row r="5" spans="1:7" x14ac:dyDescent="0.2">
      <c r="B5" s="3" t="s">
        <v>132</v>
      </c>
      <c r="C5" s="52">
        <v>4.8551450000000003E-2</v>
      </c>
      <c r="D5" s="52">
        <v>6.6415580000000002E-2</v>
      </c>
      <c r="E5" s="52">
        <f>1-SUM(E2:E4)</f>
        <v>0.25769013166427601</v>
      </c>
      <c r="F5" s="52">
        <f>1-SUM(F2:F4)</f>
        <v>0.62069809436798096</v>
      </c>
      <c r="G5" s="52">
        <f>1-SUM(G2:G4)</f>
        <v>1</v>
      </c>
    </row>
  </sheetData>
  <sheetProtection algorithmName="SHA-512" hashValue="IaJdtDDjwns9c7AIVlOfhjYBFRgG/l4k+XjO37DArHFb9rzl0pSFRIT5gXd9JvySZGs3MXmM1psP2WeCiQt2OA==" saltValue="XbQdG7MHgmc4kkZkpnR3I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pBOickaCb6C7WxS2GRwyXtHl9sznz8bDmQv3W1P89t/lWz7OmKVZRCQMgO3ISWxLpDXnDYvSMXDqzCh1Z/BlOg==" saltValue="JGz7p6qpyPqnRvxfQP0vs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zSdL3bk8XzrtANmDQhmTRYuyAM9VhsBSkjKzQmfx9UfVMUsxcgtfE3E8woSfzneIG2AiGtxcMgP2I191CmRH5g==" saltValue="ksxjPg98l1+rR7agrn37Q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mLI3FLqn8OyFojgED6Vh4sy9yqEphlzXff9yiduhFDTapxuDzoNLAYTbNB80jn2vgO4/U5ZfvkjbsZiy262Hew==" saltValue="Z9uttVC7qn/qYpRcdz9rO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TYbIQ3Z6I+08KbO73FEjBJwzKE40Jqk4bDC1hztybMYJu+1+Q+HcXzEP1J89vN9Nk50Lhc9SuLPaMJ85i3t7BA==" saltValue="WsWpMJwzb0pOPGxdXx8N7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2023-01-25T12:54:16Z</dcterms:modified>
</cp:coreProperties>
</file>