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LiST Optima bridge\App\en\"/>
    </mc:Choice>
  </mc:AlternateContent>
  <xr:revisionPtr revIDLastSave="0" documentId="8_{C2E3A08E-9377-4963-84FA-B14C3982D2EB}" xr6:coauthVersionLast="47" xr6:coauthVersionMax="47" xr10:uidLastSave="{00000000-0000-0000-0000-000000000000}"/>
  <bookViews>
    <workbookView xWindow="0" yWindow="3670" windowWidth="19200" windowHeight="6530" tabRatio="961" firstSheet="10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H152" i="27"/>
  <c r="F152" i="27"/>
  <c r="H136" i="27"/>
  <c r="G136" i="27"/>
  <c r="F136" i="27"/>
  <c r="E136" i="27"/>
  <c r="H135" i="27"/>
  <c r="G135" i="27"/>
  <c r="F135" i="27"/>
  <c r="E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D131" i="27"/>
  <c r="E130" i="27"/>
  <c r="D130" i="27"/>
  <c r="H129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F112" i="27"/>
  <c r="E112" i="27"/>
  <c r="D112" i="27"/>
  <c r="H97" i="27"/>
  <c r="G97" i="27"/>
  <c r="G152" i="27" s="1"/>
  <c r="F97" i="27"/>
  <c r="E97" i="27"/>
  <c r="E152" i="27" s="1"/>
  <c r="D97" i="27"/>
  <c r="D152" i="27" s="1"/>
  <c r="H81" i="27"/>
  <c r="G81" i="27"/>
  <c r="F81" i="27"/>
  <c r="E81" i="27"/>
  <c r="H80" i="27"/>
  <c r="G80" i="27"/>
  <c r="F80" i="27"/>
  <c r="E80" i="27"/>
  <c r="D80" i="27"/>
  <c r="D135" i="27" s="1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E75" i="27"/>
  <c r="D75" i="27"/>
  <c r="H74" i="27"/>
  <c r="G74" i="27"/>
  <c r="G129" i="27" s="1"/>
  <c r="F74" i="27"/>
  <c r="F129" i="27" s="1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H112" i="27" s="1"/>
  <c r="G57" i="27"/>
  <c r="G112" i="27" s="1"/>
  <c r="F57" i="27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A40" i="2"/>
  <c r="H39" i="2"/>
  <c r="G39" i="2"/>
  <c r="I39" i="2" s="1"/>
  <c r="A39" i="2"/>
  <c r="H38" i="2"/>
  <c r="G38" i="2"/>
  <c r="I38" i="2" s="1"/>
  <c r="A38" i="2"/>
  <c r="A37" i="2"/>
  <c r="A35" i="2"/>
  <c r="A34" i="2"/>
  <c r="A33" i="2"/>
  <c r="A31" i="2"/>
  <c r="A30" i="2"/>
  <c r="A29" i="2"/>
  <c r="A27" i="2"/>
  <c r="A26" i="2"/>
  <c r="A25" i="2"/>
  <c r="A23" i="2"/>
  <c r="A22" i="2"/>
  <c r="A21" i="2"/>
  <c r="A19" i="2"/>
  <c r="A18" i="2"/>
  <c r="A17" i="2"/>
  <c r="A15" i="2"/>
  <c r="A14" i="2"/>
  <c r="A13" i="2"/>
  <c r="I11" i="2"/>
  <c r="H11" i="2"/>
  <c r="G11" i="2"/>
  <c r="H10" i="2"/>
  <c r="G10" i="2"/>
  <c r="I10" i="2" s="1"/>
  <c r="I9" i="2"/>
  <c r="H9" i="2"/>
  <c r="G9" i="2"/>
  <c r="H8" i="2"/>
  <c r="G8" i="2"/>
  <c r="I8" i="2" s="1"/>
  <c r="I7" i="2"/>
  <c r="H7" i="2"/>
  <c r="G7" i="2"/>
  <c r="H6" i="2"/>
  <c r="G6" i="2"/>
  <c r="I6" i="2" s="1"/>
  <c r="I5" i="2"/>
  <c r="H5" i="2"/>
  <c r="G5" i="2"/>
  <c r="H4" i="2"/>
  <c r="G4" i="2"/>
  <c r="I4" i="2" s="1"/>
  <c r="I3" i="2"/>
  <c r="H3" i="2"/>
  <c r="G3" i="2"/>
  <c r="A3" i="2"/>
  <c r="H2" i="2"/>
  <c r="G2" i="2"/>
  <c r="I2" i="2" s="1"/>
  <c r="A2" i="2"/>
  <c r="A32" i="2" s="1"/>
  <c r="C33" i="1"/>
  <c r="C20" i="1"/>
  <c r="A4" i="2" l="1"/>
  <c r="A5" i="2" s="1"/>
  <c r="A6" i="2"/>
  <c r="A7" i="2" s="1"/>
  <c r="A8" i="2" s="1"/>
  <c r="A9" i="2" s="1"/>
  <c r="A10" i="2" s="1"/>
  <c r="A11" i="2" s="1"/>
  <c r="A12" i="2"/>
  <c r="A20" i="2"/>
  <c r="A28" i="2"/>
  <c r="A36" i="2"/>
  <c r="A16" i="2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<sst xmlns="http://schemas.openxmlformats.org/spreadsheetml/2006/main" count="2092" uniqueCount="341">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</sst>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25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0</v>
      </c>
      <c r="B1" s="29" t="s">
        <v>1</v>
      </c>
      <c r="C1" s="29" t="s">
        <v>2</v>
      </c>
    </row>
    <row r="2" spans="1:3" ht="15.9" customHeight="1" x14ac:dyDescent="0.3">
      <c r="A2" s="8" t="s">
        <v>3</v>
      </c>
      <c r="B2" s="29"/>
      <c r="C2" s="29"/>
    </row>
    <row r="3" spans="1:3" ht="15.9" customHeight="1" x14ac:dyDescent="0.3">
      <c r="A3" s="1"/>
      <c r="B3" s="5" t="s">
        <v>4</v>
      </c>
      <c r="C3" s="41">
        <v>2021</v>
      </c>
    </row>
    <row r="4" spans="1:3" ht="15.9" customHeight="1" x14ac:dyDescent="0.3">
      <c r="A4" s="1"/>
      <c r="B4" s="5" t="s">
        <v>5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37089.825927734397</v>
      </c>
    </row>
    <row r="8" spans="1:3" ht="15" customHeight="1" x14ac:dyDescent="0.25">
      <c r="B8" s="5" t="s">
        <v>8</v>
      </c>
      <c r="C8" s="44">
        <v>0.13900000000000001</v>
      </c>
    </row>
    <row r="9" spans="1:3" ht="15" customHeight="1" x14ac:dyDescent="0.25">
      <c r="B9" s="5" t="s">
        <v>9</v>
      </c>
      <c r="C9" s="45">
        <v>0.01</v>
      </c>
    </row>
    <row r="10" spans="1:3" ht="15" customHeight="1" x14ac:dyDescent="0.25">
      <c r="B10" s="5" t="s">
        <v>10</v>
      </c>
      <c r="C10" s="45">
        <v>0.72714500427246098</v>
      </c>
    </row>
    <row r="11" spans="1:3" ht="15" customHeight="1" x14ac:dyDescent="0.25">
      <c r="B11" s="5" t="s">
        <v>11</v>
      </c>
      <c r="C11" s="45">
        <v>0.92599999999999993</v>
      </c>
    </row>
    <row r="12" spans="1:3" ht="15" customHeight="1" x14ac:dyDescent="0.25">
      <c r="B12" s="5" t="s">
        <v>12</v>
      </c>
      <c r="C12" s="45">
        <v>0.67400000000000004</v>
      </c>
    </row>
    <row r="13" spans="1:3" ht="15" customHeight="1" x14ac:dyDescent="0.25">
      <c r="B13" s="5" t="s">
        <v>13</v>
      </c>
      <c r="C13" s="45">
        <v>0.34100000000000003</v>
      </c>
    </row>
    <row r="14" spans="1:3" ht="15" customHeight="1" x14ac:dyDescent="0.25">
      <c r="B14" s="8"/>
    </row>
    <row r="15" spans="1:3" ht="15" customHeight="1" x14ac:dyDescent="0.3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0.1298</v>
      </c>
    </row>
    <row r="24" spans="1:3" ht="15" customHeight="1" x14ac:dyDescent="0.25">
      <c r="B24" s="15" t="s">
        <v>22</v>
      </c>
      <c r="C24" s="45">
        <v>0.56009999999999993</v>
      </c>
    </row>
    <row r="25" spans="1:3" ht="15" customHeight="1" x14ac:dyDescent="0.25">
      <c r="B25" s="15" t="s">
        <v>23</v>
      </c>
      <c r="C25" s="45">
        <v>0.27879999999999999</v>
      </c>
    </row>
    <row r="26" spans="1:3" ht="15" customHeight="1" x14ac:dyDescent="0.25">
      <c r="B26" s="15" t="s">
        <v>24</v>
      </c>
      <c r="C26" s="45">
        <v>3.1300000000000001E-2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0.29181609532021502</v>
      </c>
    </row>
    <row r="30" spans="1:3" ht="14.25" customHeight="1" x14ac:dyDescent="0.25">
      <c r="B30" s="25" t="s">
        <v>27</v>
      </c>
      <c r="C30" s="99">
        <v>5.8372304444056097E-2</v>
      </c>
    </row>
    <row r="31" spans="1:3" ht="14.25" customHeight="1" x14ac:dyDescent="0.25">
      <c r="B31" s="25" t="s">
        <v>28</v>
      </c>
      <c r="C31" s="99">
        <v>0.119823270172546</v>
      </c>
    </row>
    <row r="32" spans="1:3" ht="14.25" customHeight="1" x14ac:dyDescent="0.25">
      <c r="B32" s="25" t="s">
        <v>29</v>
      </c>
      <c r="C32" s="99">
        <v>0.52998833006318302</v>
      </c>
    </row>
    <row r="33" spans="1:5" ht="13" customHeight="1" x14ac:dyDescent="0.25">
      <c r="B33" s="27" t="s">
        <v>30</v>
      </c>
      <c r="C33" s="48">
        <f>SUM(C29:C32)</f>
        <v>1.0000000000000002</v>
      </c>
    </row>
    <row r="34" spans="1:5" ht="15" customHeight="1" x14ac:dyDescent="0.25"/>
    <row r="35" spans="1:5" ht="15" customHeight="1" x14ac:dyDescent="0.3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8.1373987167464108</v>
      </c>
    </row>
    <row r="38" spans="1:5" ht="15" customHeight="1" x14ac:dyDescent="0.25">
      <c r="B38" s="11" t="s">
        <v>34</v>
      </c>
      <c r="C38" s="43">
        <v>10.5892904273596</v>
      </c>
      <c r="D38" s="12"/>
      <c r="E38" s="13"/>
    </row>
    <row r="39" spans="1:5" ht="15" customHeight="1" x14ac:dyDescent="0.25">
      <c r="B39" s="11" t="s">
        <v>35</v>
      </c>
      <c r="C39" s="43">
        <v>12.3058188951809</v>
      </c>
      <c r="D39" s="12"/>
      <c r="E39" s="12"/>
    </row>
    <row r="40" spans="1:5" ht="15" customHeight="1" x14ac:dyDescent="0.25">
      <c r="B40" s="11" t="s">
        <v>36</v>
      </c>
      <c r="C40" s="100">
        <v>0.36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6.5300996180000004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7.6756000000000003E-3</v>
      </c>
      <c r="D45" s="12"/>
    </row>
    <row r="46" spans="1:5" ht="15.75" customHeight="1" x14ac:dyDescent="0.25">
      <c r="B46" s="11" t="s">
        <v>41</v>
      </c>
      <c r="C46" s="45">
        <v>7.7105699999999999E-2</v>
      </c>
      <c r="D46" s="12"/>
    </row>
    <row r="47" spans="1:5" ht="15.75" customHeight="1" x14ac:dyDescent="0.25">
      <c r="B47" s="11" t="s">
        <v>42</v>
      </c>
      <c r="C47" s="45">
        <v>5.8004699999999999E-2</v>
      </c>
      <c r="D47" s="12"/>
      <c r="E47" s="13"/>
    </row>
    <row r="48" spans="1:5" ht="15" customHeight="1" x14ac:dyDescent="0.25">
      <c r="B48" s="11" t="s">
        <v>43</v>
      </c>
      <c r="C48" s="46">
        <v>0.85721400000000003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3.2</v>
      </c>
      <c r="D51" s="12"/>
    </row>
    <row r="52" spans="1:4" ht="15" customHeight="1" x14ac:dyDescent="0.25">
      <c r="B52" s="11" t="s">
        <v>46</v>
      </c>
      <c r="C52" s="100">
        <v>3.2</v>
      </c>
    </row>
    <row r="53" spans="1:4" ht="15.75" customHeight="1" x14ac:dyDescent="0.25">
      <c r="B53" s="11" t="s">
        <v>47</v>
      </c>
      <c r="C53" s="100">
        <v>3.2</v>
      </c>
    </row>
    <row r="54" spans="1:4" ht="15.75" customHeight="1" x14ac:dyDescent="0.25">
      <c r="B54" s="11" t="s">
        <v>48</v>
      </c>
      <c r="C54" s="100">
        <v>3.2</v>
      </c>
    </row>
    <row r="55" spans="1:4" ht="15.75" customHeight="1" x14ac:dyDescent="0.25">
      <c r="B55" s="11" t="s">
        <v>49</v>
      </c>
      <c r="C55" s="100">
        <v>3.2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1.9375E-2</v>
      </c>
    </row>
    <row r="59" spans="1:4" ht="15.75" customHeight="1" x14ac:dyDescent="0.25">
      <c r="B59" s="11" t="s">
        <v>52</v>
      </c>
      <c r="C59" s="45">
        <v>0.56960999999999995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8.5988007000000005E-2</v>
      </c>
    </row>
    <row r="63" spans="1:4" ht="15.75" customHeight="1" x14ac:dyDescent="0.3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0.54001411094533003</v>
      </c>
      <c r="C2" s="98">
        <v>0.95</v>
      </c>
      <c r="D2" s="56">
        <v>61.861086469337543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39.966012526302137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474.4736397477613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1.45725994740313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13.098311970098051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13.098311970098051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13.098311970098051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13.098311970098051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13.098311970098051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13.098311970098051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0.59645278866922202</v>
      </c>
      <c r="C16" s="98">
        <v>0.95</v>
      </c>
      <c r="D16" s="56">
        <v>0.80507776999339498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0.91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10.92023727763495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10.92023727763495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0.163617968559265</v>
      </c>
      <c r="C21" s="98">
        <v>0.95</v>
      </c>
      <c r="D21" s="56">
        <v>15.02309818297103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22.648664763181358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1.5806422229999999E-2</v>
      </c>
      <c r="C23" s="98">
        <v>0.95</v>
      </c>
      <c r="D23" s="56">
        <v>4.3331704911650171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0.83952391473329102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0.56516226286952598</v>
      </c>
      <c r="C27" s="98">
        <v>0.95</v>
      </c>
      <c r="D27" s="56">
        <v>18.55694520304651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0.55214359999999996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122.3932530911411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</v>
      </c>
      <c r="C31" s="98">
        <v>0.95</v>
      </c>
      <c r="D31" s="56">
        <v>0.61300697415096694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0.2988326</v>
      </c>
      <c r="C32" s="98">
        <v>0.95</v>
      </c>
      <c r="D32" s="56">
        <v>1.737469925830645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0.87858523549794398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0.44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9.5506578683853094E-2</v>
      </c>
      <c r="C38" s="98">
        <v>0.95</v>
      </c>
      <c r="D38" s="56">
        <v>1.895773684330621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0.57829639999999993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B8" sqref="B7:B8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156</v>
      </c>
      <c r="B1" s="4" t="s">
        <v>201</v>
      </c>
      <c r="C1" s="4" t="s">
        <v>202</v>
      </c>
    </row>
    <row r="2" spans="1:3" ht="13.25" customHeight="1" x14ac:dyDescent="0.25">
      <c r="A2" s="57" t="s">
        <v>179</v>
      </c>
      <c r="B2" s="47" t="s">
        <v>189</v>
      </c>
      <c r="C2" s="47"/>
    </row>
    <row r="3" spans="1:3" ht="13.25" customHeight="1" x14ac:dyDescent="0.25">
      <c r="A3" s="57" t="s">
        <v>180</v>
      </c>
      <c r="B3" s="47" t="s">
        <v>189</v>
      </c>
      <c r="C3" s="47"/>
    </row>
    <row r="4" spans="1:3" ht="13.25" customHeight="1" x14ac:dyDescent="0.25">
      <c r="A4" s="57" t="s">
        <v>191</v>
      </c>
      <c r="B4" s="47" t="s">
        <v>184</v>
      </c>
      <c r="C4" s="47"/>
    </row>
    <row r="5" spans="1:3" ht="13.25" customHeight="1" x14ac:dyDescent="0.25">
      <c r="A5" s="57" t="s">
        <v>188</v>
      </c>
      <c r="B5" s="47" t="s">
        <v>184</v>
      </c>
      <c r="C5" s="47"/>
    </row>
    <row r="6" spans="1:3" ht="13.25" customHeight="1" x14ac:dyDescent="0.25">
      <c r="A6" s="57"/>
      <c r="B6" s="58"/>
      <c r="C6" s="58"/>
    </row>
    <row r="7" spans="1:3" ht="13.25" customHeight="1" x14ac:dyDescent="0.25">
      <c r="A7" s="57"/>
      <c r="B7" s="58"/>
      <c r="C7" s="58"/>
    </row>
    <row r="8" spans="1:3" ht="13.25" customHeight="1" x14ac:dyDescent="0.25">
      <c r="A8" s="57"/>
      <c r="B8" s="58"/>
      <c r="C8" s="58"/>
    </row>
    <row r="9" spans="1:3" ht="13.25" customHeight="1" x14ac:dyDescent="0.25">
      <c r="A9" s="57"/>
      <c r="B9" s="58"/>
      <c r="C9" s="58"/>
    </row>
    <row r="10" spans="1:3" ht="13.25" customHeight="1" x14ac:dyDescent="0.25">
      <c r="A10" s="57"/>
      <c r="B10" s="58"/>
      <c r="C10" s="58"/>
    </row>
    <row r="11" spans="1:3" ht="13.25" customHeight="1" x14ac:dyDescent="0.25">
      <c r="A11" s="59"/>
      <c r="B11" s="58"/>
      <c r="C11" s="58"/>
    </row>
    <row r="12" spans="1:3" ht="13.25" customHeight="1" x14ac:dyDescent="0.25">
      <c r="A12" s="59"/>
      <c r="B12" s="58"/>
      <c r="C12" s="58"/>
    </row>
    <row r="13" spans="1:3" ht="13.25" customHeight="1" x14ac:dyDescent="0.25">
      <c r="A13" s="59"/>
      <c r="B13" s="58"/>
      <c r="C13" s="58"/>
    </row>
    <row r="14" spans="1:3" ht="13.25" customHeight="1" x14ac:dyDescent="0.25">
      <c r="A14" s="59"/>
      <c r="B14" s="58"/>
      <c r="C14" s="58"/>
    </row>
    <row r="15" spans="1:3" ht="13.25" customHeight="1" x14ac:dyDescent="0.25">
      <c r="A15" s="59"/>
      <c r="B15" s="58"/>
      <c r="C15" s="58"/>
    </row>
    <row r="16" spans="1:3" ht="13.25" customHeight="1" x14ac:dyDescent="0.25">
      <c r="A16" s="59"/>
      <c r="B16" s="58"/>
      <c r="C16" s="58"/>
    </row>
    <row r="17" spans="1:3" ht="13.25" customHeight="1" x14ac:dyDescent="0.25">
      <c r="A17" s="59"/>
      <c r="B17" s="58"/>
      <c r="C17" s="58"/>
    </row>
    <row r="18" spans="1:3" ht="13.25" customHeight="1" x14ac:dyDescent="0.25">
      <c r="A18" s="59"/>
      <c r="B18" s="58"/>
      <c r="C18" s="58"/>
    </row>
    <row r="19" spans="1:3" ht="13.25" customHeight="1" x14ac:dyDescent="0.25">
      <c r="A19" s="57"/>
      <c r="B19" s="58"/>
      <c r="C19" s="58"/>
    </row>
    <row r="20" spans="1:3" ht="13.25" customHeight="1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156</v>
      </c>
    </row>
    <row r="2" spans="1:1" ht="13.25" customHeight="1" x14ac:dyDescent="0.25">
      <c r="A2" s="33" t="s">
        <v>171</v>
      </c>
    </row>
    <row r="3" spans="1:1" ht="13.25" customHeight="1" x14ac:dyDescent="0.25">
      <c r="A3" s="33" t="s">
        <v>181</v>
      </c>
    </row>
    <row r="4" spans="1:1" ht="13.25" customHeight="1" x14ac:dyDescent="0.25">
      <c r="A4" s="33" t="s">
        <v>185</v>
      </c>
    </row>
    <row r="5" spans="1:1" ht="13.25" customHeight="1" x14ac:dyDescent="0.25">
      <c r="A5" s="33" t="s">
        <v>194</v>
      </c>
    </row>
    <row r="6" spans="1:1" ht="13.25" customHeight="1" x14ac:dyDescent="0.25">
      <c r="A6" s="33" t="s">
        <v>195</v>
      </c>
    </row>
    <row r="7" spans="1:1" ht="13.25" customHeight="1" x14ac:dyDescent="0.25">
      <c r="A7" s="33" t="s">
        <v>196</v>
      </c>
    </row>
    <row r="8" spans="1:1" ht="13.25" customHeight="1" x14ac:dyDescent="0.25">
      <c r="A8" s="33" t="s">
        <v>197</v>
      </c>
    </row>
    <row r="9" spans="1:1" ht="13.25" customHeight="1" x14ac:dyDescent="0.25">
      <c r="A9" s="33" t="s">
        <v>198</v>
      </c>
    </row>
    <row r="10" spans="1:1" ht="13.25" customHeight="1" x14ac:dyDescent="0.25">
      <c r="A10" s="33"/>
    </row>
    <row r="11" spans="1:1" ht="13.25" customHeight="1" x14ac:dyDescent="0.25">
      <c r="A11" s="33"/>
    </row>
    <row r="12" spans="1:1" ht="13.25" customHeight="1" x14ac:dyDescent="0.25">
      <c r="A12" s="33"/>
    </row>
    <row r="13" spans="1:1" ht="13.25" customHeight="1" x14ac:dyDescent="0.25">
      <c r="A13" s="33"/>
    </row>
    <row r="14" spans="1:1" ht="13.25" customHeight="1" x14ac:dyDescent="0.25">
      <c r="A14" s="33"/>
    </row>
    <row r="15" spans="1:1" ht="13.25" customHeight="1" x14ac:dyDescent="0.25">
      <c r="A15" s="33"/>
    </row>
    <row r="16" spans="1:1" ht="13.25" customHeight="1" x14ac:dyDescent="0.25">
      <c r="A16" s="33"/>
    </row>
    <row r="17" spans="1:1" ht="13.25" customHeight="1" x14ac:dyDescent="0.25">
      <c r="A17" s="33"/>
    </row>
    <row r="18" spans="1:1" ht="13.25" customHeight="1" x14ac:dyDescent="0.25">
      <c r="A18" s="33"/>
    </row>
    <row r="19" spans="1:1" ht="13.25" customHeight="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3.2</v>
      </c>
      <c r="C2" s="21">
        <f>'Baseline year population inputs'!C52</f>
        <v>3.2</v>
      </c>
      <c r="D2" s="21">
        <f>'Baseline year population inputs'!C53</f>
        <v>3.2</v>
      </c>
      <c r="E2" s="21">
        <f>'Baseline year population inputs'!C54</f>
        <v>3.2</v>
      </c>
      <c r="F2" s="21">
        <f>'Baseline year population inputs'!C55</f>
        <v>3.2</v>
      </c>
    </row>
    <row r="3" spans="1:6" ht="15.75" customHeight="1" x14ac:dyDescent="0.25">
      <c r="A3" s="3" t="s">
        <v>204</v>
      </c>
      <c r="B3" s="21">
        <f>frac_mam_1month * 2.6</f>
        <v>0.11636460945010174</v>
      </c>
      <c r="C3" s="21">
        <f>frac_mam_1_5months * 2.6</f>
        <v>0.11636460945010174</v>
      </c>
      <c r="D3" s="21">
        <f>frac_mam_6_11months * 2.6</f>
        <v>2.1411198750138343E-2</v>
      </c>
      <c r="E3" s="21">
        <f>frac_mam_12_23months * 2.6</f>
        <v>5.4606378544122605E-3</v>
      </c>
      <c r="F3" s="21">
        <f>frac_mam_24_59months * 2.6</f>
        <v>3.3434099517762578E-2</v>
      </c>
    </row>
    <row r="4" spans="1:6" ht="15.75" customHeight="1" x14ac:dyDescent="0.25">
      <c r="A4" s="3" t="s">
        <v>205</v>
      </c>
      <c r="B4" s="21">
        <f>frac_sam_1month * 2.6</f>
        <v>5.1407947391271636E-2</v>
      </c>
      <c r="C4" s="21">
        <f>frac_sam_1_5months * 2.6</f>
        <v>5.1407947391271636E-2</v>
      </c>
      <c r="D4" s="21">
        <f>frac_sam_6_11months * 2.6</f>
        <v>1.2643503397703102E-2</v>
      </c>
      <c r="E4" s="21">
        <f>frac_sam_12_23months * 2.6</f>
        <v>2.3616214096546243E-2</v>
      </c>
      <c r="F4" s="21">
        <f>frac_sam_24_59months * 2.6</f>
        <v>6.1943234875797611E-3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60">
        <v>0</v>
      </c>
      <c r="D2" s="60">
        <f>food_insecure</f>
        <v>0.13900000000000001</v>
      </c>
      <c r="E2" s="60">
        <f>food_insecure</f>
        <v>0.13900000000000001</v>
      </c>
      <c r="F2" s="60">
        <f>food_insecure</f>
        <v>0.13900000000000001</v>
      </c>
      <c r="G2" s="60">
        <f>food_insecure</f>
        <v>0.13900000000000001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0.13900000000000001</v>
      </c>
      <c r="F5" s="60">
        <f>food_insecure</f>
        <v>0.13900000000000001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6.2E-2</v>
      </c>
      <c r="D7" s="60">
        <f>diarrhoea_1_5mo*frac_diarrhea_severe</f>
        <v>6.2E-2</v>
      </c>
      <c r="E7" s="60">
        <f>diarrhoea_6_11mo*frac_diarrhea_severe</f>
        <v>6.2E-2</v>
      </c>
      <c r="F7" s="60">
        <f>diarrhoea_12_23mo*frac_diarrhea_severe</f>
        <v>6.2E-2</v>
      </c>
      <c r="G7" s="60">
        <f>diarrhoea_24_59mo*frac_diarrhea_severe</f>
        <v>6.2E-2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0.13900000000000001</v>
      </c>
      <c r="F8" s="60">
        <f>food_insecure</f>
        <v>0.13900000000000001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0.13900000000000001</v>
      </c>
      <c r="F9" s="60">
        <f>food_insecure</f>
        <v>0.13900000000000001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0.67400000000000004</v>
      </c>
      <c r="E10" s="60">
        <f>IF(ISBLANK(comm_deliv), frac_children_health_facility,1)</f>
        <v>0.67400000000000004</v>
      </c>
      <c r="F10" s="60">
        <f>IF(ISBLANK(comm_deliv), frac_children_health_facility,1)</f>
        <v>0.67400000000000004</v>
      </c>
      <c r="G10" s="60">
        <f>IF(ISBLANK(comm_deliv), frac_children_health_facility,1)</f>
        <v>0.67400000000000004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6.2E-2</v>
      </c>
      <c r="D12" s="60">
        <f>diarrhoea_1_5mo*frac_diarrhea_severe</f>
        <v>6.2E-2</v>
      </c>
      <c r="E12" s="60">
        <f>diarrhoea_6_11mo*frac_diarrhea_severe</f>
        <v>6.2E-2</v>
      </c>
      <c r="F12" s="60">
        <f>diarrhoea_12_23mo*frac_diarrhea_severe</f>
        <v>6.2E-2</v>
      </c>
      <c r="G12" s="60">
        <f>diarrhoea_24_59mo*frac_diarrhea_severe</f>
        <v>6.2E-2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0.13900000000000001</v>
      </c>
      <c r="I15" s="60">
        <f>food_insecure</f>
        <v>0.13900000000000001</v>
      </c>
      <c r="J15" s="60">
        <f>food_insecure</f>
        <v>0.13900000000000001</v>
      </c>
      <c r="K15" s="60">
        <f>food_insecure</f>
        <v>0.13900000000000001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0.92599999999999993</v>
      </c>
      <c r="I18" s="60">
        <f>frac_PW_health_facility</f>
        <v>0.92599999999999993</v>
      </c>
      <c r="J18" s="60">
        <f>frac_PW_health_facility</f>
        <v>0.92599999999999993</v>
      </c>
      <c r="K18" s="60">
        <f>frac_PW_health_facility</f>
        <v>0.92599999999999993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0.34100000000000003</v>
      </c>
      <c r="M24" s="60">
        <f>famplan_unmet_need</f>
        <v>0.34100000000000003</v>
      </c>
      <c r="N24" s="60">
        <f>famplan_unmet_need</f>
        <v>0.34100000000000003</v>
      </c>
      <c r="O24" s="60">
        <f>famplan_unmet_need</f>
        <v>0.34100000000000003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0.14166358523178096</v>
      </c>
      <c r="M25" s="60">
        <f>(1-food_insecure)*(0.49)+food_insecure*(0.7)</f>
        <v>0.51919000000000004</v>
      </c>
      <c r="N25" s="60">
        <f>(1-food_insecure)*(0.49)+food_insecure*(0.7)</f>
        <v>0.51919000000000004</v>
      </c>
      <c r="O25" s="60">
        <f>(1-food_insecure)*(0.49)+food_insecure*(0.7)</f>
        <v>0.51919000000000004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6.0712965099334701E-2</v>
      </c>
      <c r="M26" s="60">
        <f>(1-food_insecure)*(0.21)+food_insecure*(0.3)</f>
        <v>0.22250999999999999</v>
      </c>
      <c r="N26" s="60">
        <f>(1-food_insecure)*(0.21)+food_insecure*(0.3)</f>
        <v>0.22250999999999999</v>
      </c>
      <c r="O26" s="60">
        <f>(1-food_insecure)*(0.21)+food_insecure*(0.3)</f>
        <v>0.22250999999999999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7.0478445396423325E-2</v>
      </c>
      <c r="M27" s="60">
        <f>(1-food_insecure)*(0.3)</f>
        <v>0.25829999999999997</v>
      </c>
      <c r="N27" s="60">
        <f>(1-food_insecure)*(0.3)</f>
        <v>0.25829999999999997</v>
      </c>
      <c r="O27" s="60">
        <f>(1-food_insecure)*(0.3)</f>
        <v>0.25829999999999997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0.72714500427246098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c/rGyVZgGkhUAqOYeQhEdKJohJnZwMlPtVcOZvPWAG/LEg5Gne9k7nZtnui0huHfripADE6dYtqDmtQbZr0eCA==" saltValue="B8YmPLaFBUBxrPCcmxl/Fg==" spinCount="100000" sheet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4" customHeight="1" x14ac:dyDescent="0.3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A12" sqref="A12:XFD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5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/iNx8XhXnh7Xx3uVehiCurwu84DzhXX8Awjv5OnRpydvMo//nxQizpEy+BvB5S3dYPWZ66+QPd4XSBmiXvnjlw==" saltValue="ZzUL++HyQF3FaTSDA9XqUQ==" spinCount="100000" sheet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15" workbookViewId="0">
      <selection activeCell="E28" sqref="E28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ht="13.25" customHeight="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ht="13.25" customHeight="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ht="13.25" customHeight="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ht="13.25" customHeight="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ht="13.25" customHeight="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ht="13.25" customHeight="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ht="13.25" customHeight="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ht="13.25" customHeight="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ht="13.25" customHeight="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ht="13.25" customHeight="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ht="13.25" customHeight="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ht="13.25" customHeight="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ht="13.25" customHeight="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ht="13.25" customHeight="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ht="13.25" customHeight="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ht="13.25" customHeight="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ht="13.25" customHeight="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ht="13.25" customHeight="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ht="13.25" customHeight="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ht="13.25" customHeight="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ht="13.25" customHeight="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r5uzVyzuX2cUXRUCd1eCp2cRQdoXMaTi7+j4lrtBEgwzDwwg07iN9Zvo/tiwSsVCYAFkOMHpp89HQAzExnqtEg==" saltValue="Yl6vtKysPUoNlkWylvJDXA==" spinCount="100000" sheet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ht="13.25" customHeight="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ht="13.25" customHeight="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ht="13.25" customHeight="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ht="13.25" customHeight="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ht="13.25" customHeight="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ht="13.25" customHeight="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ht="13.25" customHeight="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ht="13.25" customHeight="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ht="13.25" customHeight="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ht="13.25" customHeight="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ht="13.25" customHeight="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ht="13.25" customHeight="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ht="13.25" customHeight="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8614.5891999999985</v>
      </c>
      <c r="C2" s="49">
        <v>20000</v>
      </c>
      <c r="D2" s="49">
        <v>39000</v>
      </c>
      <c r="E2" s="49">
        <v>32000</v>
      </c>
      <c r="F2" s="49">
        <v>23000</v>
      </c>
      <c r="G2" s="17">
        <f t="shared" ref="G2:G11" si="0">C2+D2+E2+F2</f>
        <v>114000</v>
      </c>
      <c r="H2" s="17">
        <f t="shared" ref="H2:H11" si="1">(B2 + stillbirth*B2/(1000-stillbirth))/(1-abortion)</f>
        <v>9853.6512332450257</v>
      </c>
      <c r="I2" s="17">
        <f t="shared" ref="I2:I11" si="2">G2-H2</f>
        <v>104146.34876675498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8648.6255999999994</v>
      </c>
      <c r="C3" s="50">
        <v>20000</v>
      </c>
      <c r="D3" s="50">
        <v>39000</v>
      </c>
      <c r="E3" s="50">
        <v>32000</v>
      </c>
      <c r="F3" s="50">
        <v>24000</v>
      </c>
      <c r="G3" s="17">
        <f t="shared" si="0"/>
        <v>115000</v>
      </c>
      <c r="H3" s="17">
        <f t="shared" si="1"/>
        <v>9892.5831900741723</v>
      </c>
      <c r="I3" s="17">
        <f t="shared" si="2"/>
        <v>105107.41680992582</v>
      </c>
    </row>
    <row r="4" spans="1:9" ht="15.75" customHeight="1" x14ac:dyDescent="0.25">
      <c r="A4" s="5">
        <f t="shared" si="3"/>
        <v>2023</v>
      </c>
      <c r="B4" s="49">
        <v>8656.8545999999988</v>
      </c>
      <c r="C4" s="50">
        <v>19000</v>
      </c>
      <c r="D4" s="50">
        <v>40000</v>
      </c>
      <c r="E4" s="50">
        <v>34000</v>
      </c>
      <c r="F4" s="50">
        <v>24000</v>
      </c>
      <c r="G4" s="17">
        <f t="shared" si="0"/>
        <v>117000</v>
      </c>
      <c r="H4" s="17">
        <f t="shared" si="1"/>
        <v>9901.9957916638523</v>
      </c>
      <c r="I4" s="17">
        <f t="shared" si="2"/>
        <v>107098.00420833615</v>
      </c>
    </row>
    <row r="5" spans="1:9" ht="15.75" customHeight="1" x14ac:dyDescent="0.25">
      <c r="A5" s="5">
        <f t="shared" si="3"/>
        <v>2024</v>
      </c>
      <c r="B5" s="49">
        <v>8680.7291999999998</v>
      </c>
      <c r="C5" s="50">
        <v>19000</v>
      </c>
      <c r="D5" s="50">
        <v>40000</v>
      </c>
      <c r="E5" s="50">
        <v>34000</v>
      </c>
      <c r="F5" s="50">
        <v>26000</v>
      </c>
      <c r="G5" s="17">
        <f t="shared" si="0"/>
        <v>119000</v>
      </c>
      <c r="H5" s="17">
        <f t="shared" si="1"/>
        <v>9929.3043465202172</v>
      </c>
      <c r="I5" s="17">
        <f t="shared" si="2"/>
        <v>109070.69565347978</v>
      </c>
    </row>
    <row r="6" spans="1:9" ht="15.75" customHeight="1" x14ac:dyDescent="0.25">
      <c r="A6" s="5">
        <f t="shared" si="3"/>
        <v>2025</v>
      </c>
      <c r="B6" s="49">
        <v>8679.4519999999993</v>
      </c>
      <c r="C6" s="50">
        <v>19000</v>
      </c>
      <c r="D6" s="50">
        <v>40000</v>
      </c>
      <c r="E6" s="50">
        <v>36000</v>
      </c>
      <c r="F6" s="50">
        <v>26000</v>
      </c>
      <c r="G6" s="17">
        <f t="shared" si="0"/>
        <v>121000</v>
      </c>
      <c r="H6" s="17">
        <f t="shared" si="1"/>
        <v>9927.843443038586</v>
      </c>
      <c r="I6" s="17">
        <f t="shared" si="2"/>
        <v>111072.15655696142</v>
      </c>
    </row>
    <row r="7" spans="1:9" ht="15.75" customHeight="1" x14ac:dyDescent="0.25">
      <c r="A7" s="5">
        <f t="shared" si="3"/>
        <v>2026</v>
      </c>
      <c r="B7" s="49">
        <v>8679.489599999999</v>
      </c>
      <c r="C7" s="50">
        <v>19000</v>
      </c>
      <c r="D7" s="50">
        <v>41000</v>
      </c>
      <c r="E7" s="50">
        <v>36000</v>
      </c>
      <c r="F7" s="50">
        <v>27000</v>
      </c>
      <c r="G7" s="17">
        <f t="shared" si="0"/>
        <v>123000</v>
      </c>
      <c r="H7" s="17">
        <f t="shared" si="1"/>
        <v>9927.8864511586216</v>
      </c>
      <c r="I7" s="17">
        <f t="shared" si="2"/>
        <v>113072.11354884139</v>
      </c>
    </row>
    <row r="8" spans="1:9" ht="15.75" customHeight="1" x14ac:dyDescent="0.25">
      <c r="A8" s="5">
        <f t="shared" si="3"/>
        <v>2027</v>
      </c>
      <c r="B8" s="49">
        <v>8654.5998</v>
      </c>
      <c r="C8" s="50">
        <v>19000</v>
      </c>
      <c r="D8" s="50">
        <v>41000</v>
      </c>
      <c r="E8" s="50">
        <v>38000</v>
      </c>
      <c r="F8" s="50">
        <v>28000</v>
      </c>
      <c r="G8" s="17">
        <f t="shared" si="0"/>
        <v>126000</v>
      </c>
      <c r="H8" s="17">
        <f t="shared" si="1"/>
        <v>9899.416677061301</v>
      </c>
      <c r="I8" s="17">
        <f t="shared" si="2"/>
        <v>116100.58332293871</v>
      </c>
    </row>
    <row r="9" spans="1:9" ht="15.75" customHeight="1" x14ac:dyDescent="0.25">
      <c r="A9" s="5">
        <f t="shared" si="3"/>
        <v>2028</v>
      </c>
      <c r="B9" s="49">
        <v>8624.6896000000015</v>
      </c>
      <c r="C9" s="50">
        <v>19000</v>
      </c>
      <c r="D9" s="50">
        <v>41000</v>
      </c>
      <c r="E9" s="50">
        <v>38000</v>
      </c>
      <c r="F9" s="50">
        <v>29000</v>
      </c>
      <c r="G9" s="17">
        <f t="shared" si="0"/>
        <v>127000</v>
      </c>
      <c r="H9" s="17">
        <f t="shared" si="1"/>
        <v>9865.20440387286</v>
      </c>
      <c r="I9" s="17">
        <f t="shared" si="2"/>
        <v>117134.79559612714</v>
      </c>
    </row>
    <row r="10" spans="1:9" ht="15.75" customHeight="1" x14ac:dyDescent="0.25">
      <c r="A10" s="5">
        <f t="shared" si="3"/>
        <v>2029</v>
      </c>
      <c r="B10" s="49">
        <v>8608.231600000001</v>
      </c>
      <c r="C10" s="50">
        <v>20000</v>
      </c>
      <c r="D10" s="50">
        <v>41000</v>
      </c>
      <c r="E10" s="50">
        <v>38000</v>
      </c>
      <c r="F10" s="50">
        <v>30000</v>
      </c>
      <c r="G10" s="17">
        <f t="shared" si="0"/>
        <v>129000</v>
      </c>
      <c r="H10" s="17">
        <f t="shared" si="1"/>
        <v>9846.3792006934964</v>
      </c>
      <c r="I10" s="17">
        <f t="shared" si="2"/>
        <v>119153.6207993065</v>
      </c>
    </row>
    <row r="11" spans="1:9" ht="15.75" customHeight="1" x14ac:dyDescent="0.25">
      <c r="A11" s="5">
        <f t="shared" si="3"/>
        <v>2030</v>
      </c>
      <c r="B11" s="49">
        <v>8567.9220000000005</v>
      </c>
      <c r="C11" s="50">
        <v>20000</v>
      </c>
      <c r="D11" s="50">
        <v>40000</v>
      </c>
      <c r="E11" s="50">
        <v>40000</v>
      </c>
      <c r="F11" s="50">
        <v>31000</v>
      </c>
      <c r="G11" s="17">
        <f t="shared" si="0"/>
        <v>131000</v>
      </c>
      <c r="H11" s="17">
        <f t="shared" si="1"/>
        <v>9800.2717508163023</v>
      </c>
      <c r="I11" s="17">
        <f t="shared" si="2"/>
        <v>121199.7282491837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13" zoomScale="85" zoomScaleNormal="85" workbookViewId="0">
      <selection activeCell="E28" sqref="E28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ht="13" customHeight="1" x14ac:dyDescent="0.3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ht="13.25" customHeight="1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ht="13.25" customHeight="1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ht="13.25" customHeight="1" x14ac:dyDescent="0.25">
      <c r="B5" s="103" t="s">
        <v>67</v>
      </c>
      <c r="C5" s="8" t="s">
        <v>145</v>
      </c>
      <c r="D5" s="88">
        <f>IFERROR((MIN(1,1.56*'Breastfeeding distribution'!$C$2)/(1-MIN(1,1.56*'Breastfeeding distribution'!$C$2))) /
('Breastfeeding distribution'!$C$2/(1-'Breastfeeding distribution'!$C$2)), 1.56)</f>
        <v>3.4883172752570051</v>
      </c>
      <c r="E5" s="88">
        <v>1</v>
      </c>
      <c r="F5" s="88">
        <v>1</v>
      </c>
      <c r="G5" s="88">
        <v>1</v>
      </c>
      <c r="H5" s="88">
        <v>1</v>
      </c>
    </row>
    <row r="6" spans="1:10" ht="13.25" customHeight="1" x14ac:dyDescent="0.25">
      <c r="B6" s="104"/>
      <c r="C6" s="8" t="s">
        <v>146</v>
      </c>
      <c r="D6" s="88">
        <f>IFERROR((MIN(1,1.56*'Breastfeeding distribution'!$C$2)/(1-MIN(1,1.56*'Breastfeeding distribution'!$C$2))) /
('Breastfeeding distribution'!$C$2/(1-'Breastfeeding distribution'!$C$2)), 1.56)</f>
        <v>3.4883172752570051</v>
      </c>
      <c r="E6" s="88">
        <v>1</v>
      </c>
      <c r="F6" s="88">
        <v>1</v>
      </c>
      <c r="G6" s="88">
        <v>1</v>
      </c>
      <c r="H6" s="88">
        <v>1</v>
      </c>
    </row>
    <row r="7" spans="1:10" ht="13.25" customHeight="1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ht="13.25" customHeight="1" x14ac:dyDescent="0.25">
      <c r="B8" s="103" t="s">
        <v>77</v>
      </c>
      <c r="C8" s="8" t="s">
        <v>145</v>
      </c>
      <c r="D8" s="88">
        <v>1</v>
      </c>
      <c r="E8" s="88">
        <f>IFERROR((MIN(1,1.56*'Breastfeeding distribution'!$D$2)/(1-MIN(1,1.56*'Breastfeeding distribution'!$D$2))) /
('Breastfeeding distribution'!$D$2/(1-'Breastfeeding distribution'!$D$2)), 1.56)</f>
        <v>2.0490405003515559</v>
      </c>
      <c r="F8" s="88">
        <v>1</v>
      </c>
      <c r="G8" s="88">
        <v>1</v>
      </c>
      <c r="H8" s="88">
        <v>1</v>
      </c>
    </row>
    <row r="9" spans="1:10" ht="13.25" customHeight="1" x14ac:dyDescent="0.25">
      <c r="B9" s="104"/>
      <c r="C9" s="8" t="s">
        <v>146</v>
      </c>
      <c r="D9" s="88">
        <v>1</v>
      </c>
      <c r="E9" s="88">
        <f>IFERROR((MIN(1,1.56*'Breastfeeding distribution'!$D$2)/(1-MIN(1,1.56*'Breastfeeding distribution'!$D$2))) /
('Breastfeeding distribution'!$D$2/(1-'Breastfeeding distribution'!$D$2)), 1.56)</f>
        <v>2.0490405003515559</v>
      </c>
      <c r="F9" s="88">
        <v>1</v>
      </c>
      <c r="G9" s="88">
        <v>1</v>
      </c>
      <c r="H9" s="88">
        <v>1</v>
      </c>
    </row>
    <row r="10" spans="1:10" ht="13.25" customHeight="1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ht="13.25" customHeight="1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ht="13.25" customHeight="1" x14ac:dyDescent="0.25">
      <c r="B12" s="104"/>
      <c r="C12" s="8" t="s">
        <v>146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ht="13.25" customHeight="1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ht="13.25" customHeight="1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ht="13.25" customHeight="1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ht="13.25" customHeight="1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ht="13.25" customHeight="1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ht="13.25" customHeight="1" x14ac:dyDescent="0.25">
      <c r="B20" s="104"/>
      <c r="C20" s="8" t="s">
        <v>146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ht="13.25" customHeight="1" x14ac:dyDescent="0.25">
      <c r="B21" s="104"/>
      <c r="C21" s="8" t="s">
        <v>147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ht="13.25" customHeight="1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ht="13.25" customHeight="1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ht="13.25" customHeight="1" x14ac:dyDescent="0.25">
      <c r="B24" s="104"/>
      <c r="C24" s="8" t="s">
        <v>147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ht="13.25" customHeight="1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ht="13.25" customHeight="1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150</v>
      </c>
      <c r="C51" s="8" t="s">
        <v>147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ht="13" customHeight="1" x14ac:dyDescent="0.3">
      <c r="A55" s="4" t="s">
        <v>236</v>
      </c>
      <c r="B55" s="103" t="s">
        <v>90</v>
      </c>
      <c r="C55" s="8" t="s">
        <v>145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146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147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67</v>
      </c>
      <c r="C58" s="8" t="s">
        <v>145</v>
      </c>
      <c r="D58" s="88">
        <f>IFERROR((MIN(1,1.37*'Breastfeeding distribution'!$C$2)/(1-MIN(1,1.37*'Breastfeeding distribution'!$C$2))) /
('Breastfeeding distribution'!$C$2/(1-'Breastfeeding distribution'!$C$2)), 1.37)</f>
        <v>2.158289975882222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146</v>
      </c>
      <c r="D59" s="88">
        <f>IFERROR((MIN(1,1.37*'Breastfeeding distribution'!$C$2)/(1-MIN(1,1.37*'Breastfeeding distribution'!$C$2))) /
('Breastfeeding distribution'!$C$2/(1-'Breastfeeding distribution'!$C$2)), 1.37)</f>
        <v>2.158289975882222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147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77</v>
      </c>
      <c r="C61" s="8" t="s">
        <v>145</v>
      </c>
      <c r="D61" s="88">
        <f t="shared" si="2"/>
        <v>1</v>
      </c>
      <c r="E61" s="88">
        <f>IFERROR((MIN(1,1.37*'Breastfeeding distribution'!$D$2)/(1-MIN(1,1.37*'Breastfeeding distribution'!$D$2))) /
('Breastfeeding distribution'!$D$2/(1-'Breastfeeding distribution'!$D$2)), 1.37)</f>
        <v>1.6264822464125419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146</v>
      </c>
      <c r="D62" s="88">
        <f t="shared" si="2"/>
        <v>1</v>
      </c>
      <c r="E62" s="88">
        <f>IFERROR((MIN(1,1.37*'Breastfeeding distribution'!$D$2)/(1-MIN(1,1.37*'Breastfeeding distribution'!$D$2))) /
('Breastfeeding distribution'!$D$2/(1-'Breastfeeding distribution'!$D$2)), 1.37)</f>
        <v>1.6264822464125419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147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78</v>
      </c>
      <c r="C64" s="8" t="s">
        <v>145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146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147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79</v>
      </c>
      <c r="C67" s="8" t="s">
        <v>145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146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147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150</v>
      </c>
      <c r="C70" s="8" t="s">
        <v>147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90</v>
      </c>
      <c r="C72" s="8" t="s">
        <v>145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146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147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67</v>
      </c>
      <c r="C75" s="8" t="s">
        <v>145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146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147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77</v>
      </c>
      <c r="C78" s="8" t="s">
        <v>145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146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147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78</v>
      </c>
      <c r="C81" s="8" t="s">
        <v>145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146</v>
      </c>
      <c r="D82" s="88">
        <f t="shared" ref="D82:H91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147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79</v>
      </c>
      <c r="C84" s="8" t="s">
        <v>145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146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147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150</v>
      </c>
      <c r="C87" s="8" t="s">
        <v>147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90</v>
      </c>
      <c r="C89" s="8" t="s">
        <v>145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146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147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67</v>
      </c>
      <c r="C92" s="8" t="s">
        <v>145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146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147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77</v>
      </c>
      <c r="C95" s="8" t="s">
        <v>145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146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147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78</v>
      </c>
      <c r="C98" s="8" t="s">
        <v>145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146</v>
      </c>
      <c r="D99" s="88">
        <f t="shared" ref="D99:H108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147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79</v>
      </c>
      <c r="C101" s="8" t="s">
        <v>145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146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147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150</v>
      </c>
      <c r="C104" s="8" t="s">
        <v>147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ht="13" customHeight="1" x14ac:dyDescent="0.3">
      <c r="A108" s="4" t="s">
        <v>240</v>
      </c>
      <c r="B108" s="103" t="s">
        <v>90</v>
      </c>
      <c r="C108" s="8" t="s">
        <v>145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146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147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67</v>
      </c>
      <c r="C111" s="8" t="s">
        <v>145</v>
      </c>
      <c r="D111" s="88">
        <f>IFERROR((MIN(1,1.77*'Breastfeeding distribution'!$C$2)/(1-MIN(1,1.77*'Breastfeeding distribution'!$C$2))) /
('Breastfeeding distribution'!$C$2/(1-'Breastfeeding distribution'!$C$2)), 1.77)</f>
        <v>7.3777770274711427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146</v>
      </c>
      <c r="D112" s="88">
        <f>IFERROR((MIN(1,1.77*'Breastfeeding distribution'!$C$2)/(1-MIN(1,1.77*'Breastfeeding distribution'!$C$2))) /
('Breastfeeding distribution'!$C$2/(1-'Breastfeeding distribution'!$C$2)), 1.77)</f>
        <v>7.3777770274711427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147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77</v>
      </c>
      <c r="C114" s="8" t="s">
        <v>145</v>
      </c>
      <c r="D114" s="88">
        <f t="shared" si="12"/>
        <v>1</v>
      </c>
      <c r="E114" s="88">
        <f>IFERROR((MIN(1,1.77*'Breastfeeding distribution'!$D$2)/(1-MIN(1,1.77*'Breastfeeding distribution'!$D$2))) /
('Breastfeeding distribution'!$D$2/(1-'Breastfeeding distribution'!$D$2)), 1.77)</f>
        <v>2.634589447959192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146</v>
      </c>
      <c r="D115" s="88">
        <f t="shared" si="12"/>
        <v>1</v>
      </c>
      <c r="E115" s="88">
        <f>IFERROR((MIN(1,1.77*'Breastfeeding distribution'!$D$2)/(1-MIN(1,1.77*'Breastfeeding distribution'!$D$2))) /
('Breastfeeding distribution'!$D$2/(1-'Breastfeeding distribution'!$D$2)), 1.77)</f>
        <v>2.634589447959192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147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78</v>
      </c>
      <c r="C117" s="8" t="s">
        <v>145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146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147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79</v>
      </c>
      <c r="C120" s="8" t="s">
        <v>145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146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147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150</v>
      </c>
      <c r="C123" s="8" t="s">
        <v>147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90</v>
      </c>
      <c r="C125" s="8" t="s">
        <v>145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146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147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67</v>
      </c>
      <c r="C128" s="8" t="s">
        <v>145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146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147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77</v>
      </c>
      <c r="C131" s="8" t="s">
        <v>145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146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147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78</v>
      </c>
      <c r="C134" s="8" t="s">
        <v>145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146</v>
      </c>
      <c r="D135" s="88">
        <f t="shared" ref="D135:H144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147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79</v>
      </c>
      <c r="C137" s="8" t="s">
        <v>145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146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147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150</v>
      </c>
      <c r="C140" s="8" t="s">
        <v>147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90</v>
      </c>
      <c r="C142" s="8" t="s">
        <v>145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146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147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67</v>
      </c>
      <c r="C145" s="8" t="s">
        <v>145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146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147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77</v>
      </c>
      <c r="C148" s="8" t="s">
        <v>145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146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147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78</v>
      </c>
      <c r="C151" s="8" t="s">
        <v>145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146</v>
      </c>
      <c r="D152" s="88">
        <f t="shared" ref="D152:H161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147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79</v>
      </c>
      <c r="C154" s="8" t="s">
        <v>145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146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147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150</v>
      </c>
      <c r="C157" s="8" t="s">
        <v>147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1IUQIPGO8A+lS5t9zmQeExgWOE7Hq9s+LMwGp5ZzK7cP6BPM6Y+s1H4DuDLssE5RfO3cDfuZkDwFgb68EXGf1A==" saltValue="EhqwdEStb6jxlKMHBUWr7g==" spinCount="100000" sheet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E28" sqref="E28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246</v>
      </c>
      <c r="C11" s="74"/>
      <c r="D11" s="75"/>
      <c r="E11" s="75"/>
      <c r="F11" s="75"/>
    </row>
    <row r="12" spans="1:6" ht="15.75" customHeight="1" x14ac:dyDescent="0.3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27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28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29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251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3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254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255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69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70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71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72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73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74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75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27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28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29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258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3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261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262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69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70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71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72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73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74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75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OEa5xq8Dht0iRzVx1fQ1EOJdDm09uSIzQRujIfp/VJ8GNGNECqE8Uut2U6j1omy5Y9ajcKxMUHwzsTWrCb+nAw==" saltValue="Poj67khbkyqhF7WVYd6Cs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E28" sqref="E28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271</v>
      </c>
    </row>
    <row r="29" spans="1:16" ht="13" customHeight="1" x14ac:dyDescent="0.3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274</v>
      </c>
    </row>
    <row r="56" spans="1:16" ht="26" customHeight="1" x14ac:dyDescent="0.3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278</v>
      </c>
    </row>
    <row r="65" spans="1:16" ht="26" customHeight="1" x14ac:dyDescent="0.3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68</v>
      </c>
      <c r="C66" s="3" t="s">
        <v>119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ht="13" customHeight="1" x14ac:dyDescent="0.3">
      <c r="A113" s="4"/>
      <c r="B113" s="8" t="s">
        <v>81</v>
      </c>
      <c r="C113" s="3" t="s">
        <v>267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268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269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270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268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269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270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84</v>
      </c>
      <c r="C121" s="3" t="s">
        <v>267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268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269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270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268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269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270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83</v>
      </c>
      <c r="C129" s="3" t="s">
        <v>267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268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269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270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89</v>
      </c>
      <c r="C133" s="3" t="s">
        <v>267</v>
      </c>
      <c r="D133" s="91">
        <f t="shared" ref="D133:H142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268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269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270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ht="13" customHeight="1" x14ac:dyDescent="0.3">
      <c r="A140" s="4"/>
      <c r="B140" s="8" t="s">
        <v>81</v>
      </c>
      <c r="C140" s="3" t="s">
        <v>267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268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204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205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82</v>
      </c>
      <c r="C144" s="3" t="s">
        <v>267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268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204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205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84</v>
      </c>
      <c r="C148" s="3" t="s">
        <v>267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268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204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205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85</v>
      </c>
      <c r="C152" s="3" t="s">
        <v>267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268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204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205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83</v>
      </c>
      <c r="C156" s="3" t="s">
        <v>267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268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204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205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89</v>
      </c>
      <c r="C160" s="3" t="s">
        <v>267</v>
      </c>
      <c r="D160" s="91">
        <f t="shared" ref="D160:H169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268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204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205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ht="13" customHeight="1" x14ac:dyDescent="0.3">
      <c r="A167" s="4"/>
      <c r="B167" s="8" t="s">
        <v>91</v>
      </c>
      <c r="C167" s="3" t="s">
        <v>276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277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277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277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ht="13" customHeight="1" x14ac:dyDescent="0.3">
      <c r="A176" s="82"/>
      <c r="B176" s="8" t="s">
        <v>68</v>
      </c>
      <c r="C176" s="3" t="s">
        <v>119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ht="13" customHeight="1" x14ac:dyDescent="0.3">
      <c r="A215" s="4"/>
      <c r="C215" s="3" t="s">
        <v>119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ht="13" customHeight="1" x14ac:dyDescent="0.3">
      <c r="A223" s="4"/>
      <c r="B223" s="8" t="s">
        <v>81</v>
      </c>
      <c r="C223" s="3" t="s">
        <v>267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268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269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270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268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269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270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268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269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270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268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269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270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268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269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270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268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269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270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ht="13" customHeight="1" x14ac:dyDescent="0.3">
      <c r="A250" s="4"/>
      <c r="B250" s="8" t="s">
        <v>81</v>
      </c>
      <c r="C250" s="3" t="s">
        <v>267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268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204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205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268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204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205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268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204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205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268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204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205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268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204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205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268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204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205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ht="13" customHeight="1" x14ac:dyDescent="0.3">
      <c r="A277" s="4"/>
      <c r="B277" s="8" t="s">
        <v>91</v>
      </c>
      <c r="C277" s="3" t="s">
        <v>276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277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277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277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ht="13" customHeight="1" x14ac:dyDescent="0.3">
      <c r="A286" s="82"/>
      <c r="B286" s="8" t="s">
        <v>68</v>
      </c>
      <c r="C286" s="3" t="s">
        <v>119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ht="13" customHeight="1" x14ac:dyDescent="0.3">
      <c r="A325" s="4"/>
      <c r="C325" s="3" t="s">
        <v>119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rzjjr+eUY+zLxtgvRuigrXBCYk8ZjZeKkvy/Wu7lqFGhk7GKsrVngS9i2Jt2gxX9Fn0pC2b9tyB7+BxRGGivEA==" saltValue="vsQDJsypwJz22iUc18xJ6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E28" sqref="E28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281</v>
      </c>
    </row>
    <row r="2" spans="1:7" ht="14.25" customHeight="1" x14ac:dyDescent="0.3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f>IF(ISBLANK('Nutritional status distribution'!$E$4),0.64, (0.64*SUM('Nutritional status distribution'!$E$4:$E$5)/(1-0.64*SUM('Nutritional status distribution'!$E$4:$E$5)))
/ (SUM('Nutritional status distribution'!$E$4:$E$5)/(1-SUM('Nutritional status distribution'!$E$4:$E$5))))</f>
        <v>0.62580400158229244</v>
      </c>
      <c r="F6" s="90">
        <f>IF(ISBLANK('Nutritional status distribution'!$F$4),0.64, (0.64*SUM('Nutritional status distribution'!$F$4:$F$5)/(1-0.64*SUM('Nutritional status distribution'!$F$4:$F$5)))/ (SUM('Nutritional status distribution'!$F$4:$F$5)/(1-SUM('Nutritional status distribution'!$F$4:$F$5))))</f>
        <v>0.60131033087115959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0.87339584174592022</v>
      </c>
      <c r="F7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0.86152256210934597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0.87339584174592022</v>
      </c>
      <c r="F8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0.86152256210934597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287</v>
      </c>
    </row>
    <row r="15" spans="1:7" ht="14.25" customHeight="1" x14ac:dyDescent="0.3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291</v>
      </c>
    </row>
    <row r="20" spans="1:7" s="14" customFormat="1" ht="14.25" customHeight="1" x14ac:dyDescent="0.3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281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293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294</v>
      </c>
    </row>
    <row r="29" spans="1:7" x14ac:dyDescent="0.25">
      <c r="B29" s="5" t="s">
        <v>295</v>
      </c>
      <c r="C29" s="90">
        <f t="shared" ref="C29:D32" si="0">IF(C6=1,1,C6*0.9)</f>
        <v>1</v>
      </c>
      <c r="D29" s="90">
        <f t="shared" si="0"/>
        <v>1</v>
      </c>
      <c r="E29" s="90">
        <f>IF(ISBLANK('Nutritional status distribution'!E$4),0.44, (0.44*SUM('Nutritional status distribution'!E$4:E$5)/(1-0.44*SUM('Nutritional status distribution'!E$4:E$5)))/ (SUM('Nutritional status distribution'!E$4:E$5)/(1-SUM('Nutritional status distribution'!E$4:E$5))))</f>
        <v>0.42500297542236004</v>
      </c>
      <c r="F29" s="90">
        <f>IF(ISBLANK('Nutritional status distribution'!F$4),0.44, (0.44*SUM('Nutritional status distribution'!F$4:F$5)/(1-0.44*SUM('Nutritional status distribution'!F$4:F$5)))/ (SUM('Nutritional status distribution'!F$4:F$5)/(1-SUM('Nutritional status distribution'!F$4:F$5))))</f>
        <v>0.39996801383050079</v>
      </c>
      <c r="G29" s="90">
        <f>IF(G6=1,1,G6*0.9)</f>
        <v>1</v>
      </c>
    </row>
    <row r="30" spans="1:7" x14ac:dyDescent="0.25">
      <c r="B30" s="5" t="s">
        <v>296</v>
      </c>
      <c r="C30" s="90">
        <f t="shared" si="0"/>
        <v>1</v>
      </c>
      <c r="D30" s="90">
        <f t="shared" si="0"/>
        <v>1</v>
      </c>
      <c r="E30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0.84204116160467113</v>
      </c>
      <c r="F30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0.82780709007937259</v>
      </c>
      <c r="G30" s="90">
        <f>IF(G7=1,1,G7*0.9)</f>
        <v>1</v>
      </c>
    </row>
    <row r="31" spans="1:7" x14ac:dyDescent="0.25">
      <c r="B31" s="5" t="s">
        <v>297</v>
      </c>
      <c r="C31" s="90">
        <f t="shared" si="0"/>
        <v>1</v>
      </c>
      <c r="D31" s="90">
        <f t="shared" si="0"/>
        <v>1</v>
      </c>
      <c r="E31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0.84204116160467113</v>
      </c>
      <c r="F31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0.82780709007937259</v>
      </c>
      <c r="G31" s="90">
        <f>IF(G8=1,1,G8*0.9)</f>
        <v>1</v>
      </c>
    </row>
    <row r="32" spans="1:7" x14ac:dyDescent="0.25">
      <c r="B32" s="5" t="s">
        <v>298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299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287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272</v>
      </c>
      <c r="B38" s="5" t="s">
        <v>301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302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111</v>
      </c>
      <c r="B40" s="11" t="s">
        <v>303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304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281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307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308</v>
      </c>
    </row>
    <row r="52" spans="1:7" x14ac:dyDescent="0.25">
      <c r="B52" s="5" t="s">
        <v>309</v>
      </c>
      <c r="C52" s="90">
        <f t="shared" ref="C52:D55" si="3">IF(C6=1,1,C6*1.1)</f>
        <v>1</v>
      </c>
      <c r="D52" s="90">
        <f t="shared" si="3"/>
        <v>1</v>
      </c>
      <c r="E52" s="90">
        <f>IF(ISBLANK('Nutritional status distribution'!E$4),0.92, (0.92*SUM('Nutritional status distribution'!E$4:E$5)/(1-0.92*SUM('Nutritional status distribution'!E$4:E$5)))/ (SUM('Nutritional status distribution'!E$4:E$5)/(1-SUM('Nutritional status distribution'!E$4:E$5))))</f>
        <v>0.91538555845085168</v>
      </c>
      <c r="F52" s="90">
        <f>IF(ISBLANK('Nutritional status distribution'!F$4),0.92, (0.92*SUM('Nutritional status distribution'!F$4:F$5)/(1-0.92*SUM('Nutritional status distribution'!F$4:F$5)))/ (SUM('Nutritional status distribution'!F$4:F$5)/(1-SUM('Nutritional status distribution'!F$4:F$5))))</f>
        <v>0.907031015406769</v>
      </c>
      <c r="G52" s="90">
        <f>IF(G6=1,1,G6*1.1)</f>
        <v>1</v>
      </c>
    </row>
    <row r="53" spans="1:7" x14ac:dyDescent="0.25">
      <c r="B53" s="5" t="s">
        <v>310</v>
      </c>
      <c r="C53" s="90">
        <f t="shared" si="3"/>
        <v>1</v>
      </c>
      <c r="D53" s="90">
        <f t="shared" si="3"/>
        <v>1</v>
      </c>
      <c r="E53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0.90486839717306711</v>
      </c>
      <c r="F53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0.8955938653694987</v>
      </c>
      <c r="G53" s="90">
        <f>IF(G7=1,1,G7*1.1)</f>
        <v>1</v>
      </c>
    </row>
    <row r="54" spans="1:7" x14ac:dyDescent="0.25">
      <c r="B54" s="5" t="s">
        <v>311</v>
      </c>
      <c r="C54" s="90">
        <f t="shared" si="3"/>
        <v>1</v>
      </c>
      <c r="D54" s="90">
        <f t="shared" si="3"/>
        <v>1</v>
      </c>
      <c r="E54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0.90486839717306711</v>
      </c>
      <c r="F54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0.8955938653694987</v>
      </c>
      <c r="G54" s="90">
        <f>IF(G8=1,1,G8*1.1)</f>
        <v>1</v>
      </c>
    </row>
    <row r="55" spans="1:7" x14ac:dyDescent="0.25">
      <c r="B55" s="5" t="s">
        <v>312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313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287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272</v>
      </c>
      <c r="B61" s="5" t="s">
        <v>315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316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111</v>
      </c>
      <c r="B63" s="11" t="s">
        <v>317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318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uxH3qxfpHv3MxEVFpMF959vuuHVMbjUY0YDJlIXIgHOAA25UaRTm/IIjRx7RzEUfWaTP3eP7cZpYIm+m6J8PbA==" saltValue="wm1A0TwV/0DyOIoqtNvf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E28" sqref="E28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179</v>
      </c>
      <c r="B19" s="5" t="s">
        <v>320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180</v>
      </c>
      <c r="B21" s="5" t="s">
        <v>320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181</v>
      </c>
      <c r="B23" s="5" t="s">
        <v>320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320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189</v>
      </c>
      <c r="B27" s="5" t="s">
        <v>320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179</v>
      </c>
      <c r="B34" s="5" t="s">
        <v>320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180</v>
      </c>
      <c r="B36" s="5" t="s">
        <v>320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181</v>
      </c>
      <c r="B38" s="5" t="s">
        <v>320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320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189</v>
      </c>
      <c r="B42" s="5" t="s">
        <v>320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lEvf/7Nn9p0s2t120JFgJzNA1BIMAO9h8EmTziKGX5ZA7K3Y+rQ77oXfzNqKwsdbYQwCY96ujjsdxuDmqt1luA==" saltValue="pZcegXbvW/wKpwHEQP8p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8" zoomScale="70" zoomScaleNormal="70" workbookViewId="0">
      <selection activeCell="E28" sqref="E28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ht="13" customHeight="1" x14ac:dyDescent="0.3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f>IF(ISBLANK('Nutritional status distribution'!E$14),0.72,(0.72*'Nutritional status distribution'!E$14/(1-0.72*'Nutritional status distribution'!E$14))
/ ('Nutritional status distribution'!E$14/(1-'Nutritional status distribution'!E$14)))</f>
        <v>0.60275401354047586</v>
      </c>
      <c r="F19" s="90">
        <f>IF(ISBLANK('Nutritional status distribution'!F$14),0.72,(0.72*'Nutritional status distribution'!F$14/(1-0.72*'Nutritional status distribution'!F$14))
/ ('Nutritional status distribution'!F$14/(1-'Nutritional status distribution'!F$14)))</f>
        <v>0.62753238393567001</v>
      </c>
      <c r="G19" s="90">
        <f>IF(ISBLANK('Nutritional status distribution'!G$14),0.72,(0.72*'Nutritional status distribution'!G$14/(1-0.72*'Nutritional status distribution'!G$14))
/ ('Nutritional status distribution'!G$14/(1-'Nutritional status distribution'!G$14)))</f>
        <v>0.62753238393567001</v>
      </c>
      <c r="H19" s="90">
        <f>IF(ISBLANK('Nutritional status distribution'!H$14),0.72,(0.72*'Nutritional status distribution'!H$14/(1-0.72*'Nutritional status distribution'!H$14))
/ ('Nutritional status distribution'!H$14/(1-'Nutritional status distribution'!H$14)))</f>
        <v>0.66928092223377122</v>
      </c>
      <c r="I19" s="90">
        <f>IF(ISBLANK('Nutritional status distribution'!I$14),0.72,(0.72*'Nutritional status distribution'!I$14/(1-0.72*'Nutritional status distribution'!I$14))
/ ('Nutritional status distribution'!I$14/(1-'Nutritional status distribution'!I$14)))</f>
        <v>0.66928092223377122</v>
      </c>
      <c r="J19" s="90">
        <f>IF(ISBLANK('Nutritional status distribution'!J$14),0.72,(0.72*'Nutritional status distribution'!J$14/(1-0.72*'Nutritional status distribution'!J$14))
/ ('Nutritional status distribution'!J$14/(1-'Nutritional status distribution'!J$14)))</f>
        <v>0.66928092223377122</v>
      </c>
      <c r="K19" s="90">
        <f>IF(ISBLANK('Nutritional status distribution'!K$14),0.72,(0.72*'Nutritional status distribution'!K$14/(1-0.72*'Nutritional status distribution'!K$14))
/ ('Nutritional status distribution'!K$14/(1-'Nutritional status distribution'!K$14)))</f>
        <v>0.66928092223377122</v>
      </c>
      <c r="L19" s="90">
        <f>IF(ISBLANK('Nutritional status distribution'!L$14),0.72,(0.72*'Nutritional status distribution'!L$14/(1-0.72*'Nutritional status distribution'!L$14))
/ ('Nutritional status distribution'!L$14/(1-'Nutritional status distribution'!L$14)))</f>
        <v>0.6681520811605195</v>
      </c>
      <c r="M19" s="90">
        <f>IF(ISBLANK('Nutritional status distribution'!M$14),0.72,(0.72*'Nutritional status distribution'!M$14/(1-0.72*'Nutritional status distribution'!M$14))
/ ('Nutritional status distribution'!M$14/(1-'Nutritional status distribution'!M$14)))</f>
        <v>0.6681520811605195</v>
      </c>
      <c r="N19" s="90">
        <f>IF(ISBLANK('Nutritional status distribution'!N$14),0.72,(0.72*'Nutritional status distribution'!N$14/(1-0.72*'Nutritional status distribution'!N$14))
/ ('Nutritional status distribution'!N$14/(1-'Nutritional status distribution'!N$14)))</f>
        <v>0.6681520811605195</v>
      </c>
      <c r="O19" s="90">
        <f>IF(ISBLANK('Nutritional status distribution'!O$14),0.72,(0.72*'Nutritional status distribution'!O$14/(1-0.72*'Nutritional status distribution'!O$14))
/ ('Nutritional status distribution'!O$14/(1-'Nutritional status distribution'!O$14)))</f>
        <v>0.6681520811605195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f>IF(ISBLANK('Nutritional status distribution'!E$14),0.8,(0.8*'Nutritional status distribution'!E$14/(1-0.8*'Nutritional status distribution'!E$14))
/ ('Nutritional status distribution'!E$14/(1-'Nutritional status distribution'!E$14)))</f>
        <v>0.70240699980206345</v>
      </c>
      <c r="F21" s="90">
        <f>IF(ISBLANK('Nutritional status distribution'!F$14),0.8,(0.8*'Nutritional status distribution'!F$14/(1-0.8*'Nutritional status distribution'!F$14))
/ ('Nutritional status distribution'!F$14/(1-'Nutritional status distribution'!F$14)))</f>
        <v>0.72381760451375277</v>
      </c>
      <c r="G21" s="90">
        <f>IF(ISBLANK('Nutritional status distribution'!G$14),0.8,(0.8*'Nutritional status distribution'!G$14/(1-0.8*'Nutritional status distribution'!G$14))
/ ('Nutritional status distribution'!G$14/(1-'Nutritional status distribution'!G$14)))</f>
        <v>0.72381760451375277</v>
      </c>
      <c r="H21" s="90">
        <f>IF(ISBLANK('Nutritional status distribution'!H$14),0.8,(0.8*'Nutritional status distribution'!H$14/(1-0.8*'Nutritional status distribution'!H$14))
/ ('Nutritional status distribution'!H$14/(1-'Nutritional status distribution'!H$14)))</f>
        <v>0.75891996142719398</v>
      </c>
      <c r="I21" s="90">
        <f>IF(ISBLANK('Nutritional status distribution'!I$14),0.8,(0.8*'Nutritional status distribution'!I$14/(1-0.8*'Nutritional status distribution'!I$14))
/ ('Nutritional status distribution'!I$14/(1-'Nutritional status distribution'!I$14)))</f>
        <v>0.75891996142719398</v>
      </c>
      <c r="J21" s="90">
        <f>IF(ISBLANK('Nutritional status distribution'!J$14),0.8,(0.8*'Nutritional status distribution'!J$14/(1-0.8*'Nutritional status distribution'!J$14))
/ ('Nutritional status distribution'!J$14/(1-'Nutritional status distribution'!J$14)))</f>
        <v>0.75891996142719398</v>
      </c>
      <c r="K21" s="90">
        <f>IF(ISBLANK('Nutritional status distribution'!K$14),0.8,(0.8*'Nutritional status distribution'!K$14/(1-0.8*'Nutritional status distribution'!K$14))
/ ('Nutritional status distribution'!K$14/(1-'Nutritional status distribution'!K$14)))</f>
        <v>0.75891996142719398</v>
      </c>
      <c r="L21" s="90">
        <f>IF(ISBLANK('Nutritional status distribution'!L$14),0.8,(0.8*'Nutritional status distribution'!L$14/(1-0.8*'Nutritional status distribution'!L$14))
/ ('Nutritional status distribution'!L$14/(1-'Nutritional status distribution'!L$14)))</f>
        <v>0.75798644724104558</v>
      </c>
      <c r="M21" s="90">
        <f>IF(ISBLANK('Nutritional status distribution'!M$14),0.8,(0.8*'Nutritional status distribution'!M$14/(1-0.8*'Nutritional status distribution'!M$14))
/ ('Nutritional status distribution'!M$14/(1-'Nutritional status distribution'!M$14)))</f>
        <v>0.75798644724104558</v>
      </c>
      <c r="N21" s="90">
        <f>IF(ISBLANK('Nutritional status distribution'!N$14),0.8,(0.8*'Nutritional status distribution'!N$14/(1-0.8*'Nutritional status distribution'!N$14))
/ ('Nutritional status distribution'!N$14/(1-'Nutritional status distribution'!N$14)))</f>
        <v>0.75798644724104558</v>
      </c>
      <c r="O21" s="90">
        <f>IF(ISBLANK('Nutritional status distribution'!O$14),0.8,(0.8*'Nutritional status distribution'!O$14/(1-0.8*'Nutritional status distribution'!O$14))
/ ('Nutritional status distribution'!O$14/(1-'Nutritional status distribution'!O$14)))</f>
        <v>0.75798644724104558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ht="13" customHeight="1" x14ac:dyDescent="0.3">
      <c r="A25" s="4" t="s">
        <v>324</v>
      </c>
    </row>
    <row r="26" spans="1:15" x14ac:dyDescent="0.25">
      <c r="B26" s="11" t="s">
        <v>170</v>
      </c>
      <c r="C26" s="90">
        <v>0.4</v>
      </c>
      <c r="D26" s="90">
        <v>0.4</v>
      </c>
      <c r="E26" s="90">
        <f t="shared" ref="E26:O26" si="0">IF(E3=1,1,E3*0.9)</f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175</v>
      </c>
      <c r="C27" s="90">
        <f t="shared" ref="C27:G33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2">IF(L4=1,1,L4*0.9)</f>
        <v>1</v>
      </c>
      <c r="M27" s="90">
        <f t="shared" si="2"/>
        <v>1</v>
      </c>
      <c r="N27" s="90">
        <f t="shared" si="2"/>
        <v>1</v>
      </c>
      <c r="O27" s="90">
        <f t="shared" si="2"/>
        <v>1</v>
      </c>
    </row>
    <row r="28" spans="1:15" x14ac:dyDescent="0.25">
      <c r="B28" s="11" t="s">
        <v>176</v>
      </c>
      <c r="C28" s="90">
        <f t="shared" si="1"/>
        <v>1</v>
      </c>
      <c r="D28" s="90">
        <f t="shared" si="1"/>
        <v>1</v>
      </c>
      <c r="E28" s="90">
        <f t="shared" si="1"/>
        <v>1</v>
      </c>
      <c r="F28" s="90">
        <f t="shared" si="1"/>
        <v>1</v>
      </c>
      <c r="G28" s="90">
        <f t="shared" si="1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177</v>
      </c>
      <c r="C29" s="90">
        <f t="shared" si="1"/>
        <v>1</v>
      </c>
      <c r="D29" s="90">
        <f t="shared" si="1"/>
        <v>1</v>
      </c>
      <c r="E29" s="90">
        <f t="shared" si="1"/>
        <v>1</v>
      </c>
      <c r="F29" s="90">
        <f t="shared" si="1"/>
        <v>1</v>
      </c>
      <c r="G29" s="90">
        <f t="shared" si="1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2"/>
        <v>1</v>
      </c>
      <c r="M29" s="90">
        <f t="shared" si="2"/>
        <v>1</v>
      </c>
      <c r="N29" s="90">
        <f t="shared" si="2"/>
        <v>1</v>
      </c>
      <c r="O29" s="90">
        <f t="shared" si="2"/>
        <v>1</v>
      </c>
    </row>
    <row r="30" spans="1:15" x14ac:dyDescent="0.25">
      <c r="B30" s="11" t="s">
        <v>178</v>
      </c>
      <c r="C30" s="90">
        <f t="shared" si="1"/>
        <v>1</v>
      </c>
      <c r="D30" s="90">
        <f t="shared" si="1"/>
        <v>1</v>
      </c>
      <c r="E30" s="90">
        <f t="shared" si="1"/>
        <v>1</v>
      </c>
      <c r="F30" s="90">
        <f t="shared" si="1"/>
        <v>1</v>
      </c>
      <c r="G30" s="90">
        <f t="shared" si="1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2"/>
        <v>1</v>
      </c>
      <c r="M30" s="90">
        <f t="shared" si="2"/>
        <v>1</v>
      </c>
      <c r="N30" s="90">
        <f t="shared" si="2"/>
        <v>1</v>
      </c>
      <c r="O30" s="90">
        <f t="shared" si="2"/>
        <v>1</v>
      </c>
    </row>
    <row r="31" spans="1:15" x14ac:dyDescent="0.25">
      <c r="B31" s="5" t="s">
        <v>179</v>
      </c>
      <c r="C31" s="90">
        <f t="shared" si="1"/>
        <v>1</v>
      </c>
      <c r="D31" s="90">
        <f t="shared" si="1"/>
        <v>1</v>
      </c>
      <c r="E31" s="90">
        <f t="shared" si="1"/>
        <v>1</v>
      </c>
      <c r="F31" s="90">
        <f t="shared" si="1"/>
        <v>1</v>
      </c>
      <c r="G31" s="90">
        <f t="shared" si="1"/>
        <v>1</v>
      </c>
      <c r="H31" s="90">
        <f t="shared" ref="H31:K34" si="3">IF(H8=1,1,H8*0.9)</f>
        <v>1</v>
      </c>
      <c r="I31" s="90">
        <f t="shared" si="3"/>
        <v>1</v>
      </c>
      <c r="J31" s="90">
        <f t="shared" si="3"/>
        <v>1</v>
      </c>
      <c r="K31" s="90">
        <f t="shared" si="3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180</v>
      </c>
      <c r="C32" s="90">
        <f t="shared" si="1"/>
        <v>1</v>
      </c>
      <c r="D32" s="90">
        <f t="shared" si="1"/>
        <v>1</v>
      </c>
      <c r="E32" s="90">
        <f t="shared" si="1"/>
        <v>1</v>
      </c>
      <c r="F32" s="90">
        <f t="shared" si="1"/>
        <v>1</v>
      </c>
      <c r="G32" s="90">
        <f t="shared" si="1"/>
        <v>1</v>
      </c>
      <c r="H32" s="90">
        <f t="shared" si="3"/>
        <v>1</v>
      </c>
      <c r="I32" s="90">
        <f t="shared" si="3"/>
        <v>1</v>
      </c>
      <c r="J32" s="90">
        <f t="shared" si="3"/>
        <v>1</v>
      </c>
      <c r="K32" s="90">
        <f t="shared" si="3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181</v>
      </c>
      <c r="C33" s="90">
        <f t="shared" si="1"/>
        <v>1</v>
      </c>
      <c r="D33" s="90">
        <f t="shared" si="1"/>
        <v>1</v>
      </c>
      <c r="E33" s="90">
        <f t="shared" si="1"/>
        <v>1</v>
      </c>
      <c r="F33" s="90">
        <f t="shared" si="1"/>
        <v>1</v>
      </c>
      <c r="G33" s="90">
        <f t="shared" si="1"/>
        <v>1</v>
      </c>
      <c r="H33" s="90">
        <f t="shared" si="3"/>
        <v>1</v>
      </c>
      <c r="I33" s="90">
        <f t="shared" si="3"/>
        <v>1</v>
      </c>
      <c r="J33" s="90">
        <f t="shared" si="3"/>
        <v>1</v>
      </c>
      <c r="K33" s="90">
        <f t="shared" si="3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184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3"/>
        <v>1</v>
      </c>
      <c r="I34" s="90">
        <f t="shared" si="3"/>
        <v>1</v>
      </c>
      <c r="J34" s="90">
        <f t="shared" si="3"/>
        <v>1</v>
      </c>
      <c r="K34" s="90">
        <f t="shared" si="3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185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188</v>
      </c>
      <c r="C36" s="90">
        <f t="shared" ref="C36:D38" si="4">IF(C13=1,1,C13*0.9)</f>
        <v>1</v>
      </c>
      <c r="D36" s="90">
        <f t="shared" si="4"/>
        <v>1</v>
      </c>
      <c r="E36" s="90">
        <v>0.62</v>
      </c>
      <c r="F36" s="90">
        <v>0.62</v>
      </c>
      <c r="G36" s="90">
        <v>0.62</v>
      </c>
      <c r="H36" s="90">
        <f t="shared" ref="H36:O36" si="5">IF(H13=1,1,H13*0.9)</f>
        <v>1</v>
      </c>
      <c r="I36" s="90">
        <f t="shared" si="5"/>
        <v>1</v>
      </c>
      <c r="J36" s="90">
        <f t="shared" si="5"/>
        <v>1</v>
      </c>
      <c r="K36" s="90">
        <f t="shared" si="5"/>
        <v>1</v>
      </c>
      <c r="L36" s="90">
        <f t="shared" si="5"/>
        <v>1</v>
      </c>
      <c r="M36" s="90">
        <f t="shared" si="5"/>
        <v>1</v>
      </c>
      <c r="N36" s="90">
        <f t="shared" si="5"/>
        <v>1</v>
      </c>
      <c r="O36" s="90">
        <f t="shared" si="5"/>
        <v>1</v>
      </c>
    </row>
    <row r="37" spans="1:15" x14ac:dyDescent="0.25">
      <c r="B37" s="11" t="s">
        <v>189</v>
      </c>
      <c r="C37" s="90">
        <f t="shared" si="4"/>
        <v>1</v>
      </c>
      <c r="D37" s="90">
        <f t="shared" si="4"/>
        <v>1</v>
      </c>
      <c r="E37" s="90">
        <f t="shared" ref="E37:K37" si="6">IF(E14=1,1,E14*0.9)</f>
        <v>1</v>
      </c>
      <c r="F37" s="90">
        <f t="shared" si="6"/>
        <v>1</v>
      </c>
      <c r="G37" s="90">
        <f t="shared" si="6"/>
        <v>1</v>
      </c>
      <c r="H37" s="90">
        <f t="shared" si="6"/>
        <v>1</v>
      </c>
      <c r="I37" s="90">
        <f t="shared" si="6"/>
        <v>1</v>
      </c>
      <c r="J37" s="90">
        <f t="shared" si="6"/>
        <v>1</v>
      </c>
      <c r="K37" s="90">
        <f t="shared" si="6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192</v>
      </c>
      <c r="C38" s="90">
        <f t="shared" si="4"/>
        <v>1</v>
      </c>
      <c r="D38" s="90">
        <f t="shared" si="4"/>
        <v>1</v>
      </c>
      <c r="E38" s="90">
        <v>0.3</v>
      </c>
      <c r="F38" s="90">
        <v>0.3</v>
      </c>
      <c r="G38" s="90">
        <f t="shared" ref="G38:O38" si="7">IF(G15=1,1,G15*0.9)</f>
        <v>1</v>
      </c>
      <c r="H38" s="90">
        <f t="shared" si="7"/>
        <v>1</v>
      </c>
      <c r="I38" s="90">
        <f t="shared" si="7"/>
        <v>1</v>
      </c>
      <c r="J38" s="90">
        <f t="shared" si="7"/>
        <v>1</v>
      </c>
      <c r="K38" s="90">
        <f t="shared" si="7"/>
        <v>1</v>
      </c>
      <c r="L38" s="90">
        <f t="shared" si="7"/>
        <v>1</v>
      </c>
      <c r="M38" s="90">
        <f t="shared" si="7"/>
        <v>1</v>
      </c>
      <c r="N38" s="90">
        <f t="shared" si="7"/>
        <v>1</v>
      </c>
      <c r="O38" s="90">
        <f t="shared" si="7"/>
        <v>1</v>
      </c>
    </row>
    <row r="40" spans="1:15" ht="13" customHeight="1" x14ac:dyDescent="0.3">
      <c r="A40" s="4" t="s">
        <v>325</v>
      </c>
      <c r="B40" s="11"/>
    </row>
    <row r="41" spans="1:15" x14ac:dyDescent="0.25">
      <c r="B41" s="5" t="s">
        <v>172</v>
      </c>
      <c r="C41" s="90">
        <f t="shared" ref="C41:O41" si="8">IF(C18=1,1,C18*0.9)</f>
        <v>1</v>
      </c>
      <c r="D41" s="90">
        <f t="shared" si="8"/>
        <v>1</v>
      </c>
      <c r="E41" s="90">
        <f t="shared" si="8"/>
        <v>1</v>
      </c>
      <c r="F41" s="90">
        <f t="shared" si="8"/>
        <v>1</v>
      </c>
      <c r="G41" s="90">
        <f t="shared" si="8"/>
        <v>1</v>
      </c>
      <c r="H41" s="90">
        <f t="shared" si="8"/>
        <v>1</v>
      </c>
      <c r="I41" s="90">
        <f t="shared" si="8"/>
        <v>1</v>
      </c>
      <c r="J41" s="90">
        <f t="shared" si="8"/>
        <v>1</v>
      </c>
      <c r="K41" s="90">
        <f t="shared" si="8"/>
        <v>1</v>
      </c>
      <c r="L41" s="90">
        <f t="shared" si="8"/>
        <v>1</v>
      </c>
      <c r="M41" s="90">
        <f t="shared" si="8"/>
        <v>1</v>
      </c>
      <c r="N41" s="90">
        <f t="shared" si="8"/>
        <v>1</v>
      </c>
      <c r="O41" s="90">
        <f t="shared" si="8"/>
        <v>1</v>
      </c>
    </row>
    <row r="42" spans="1:15" x14ac:dyDescent="0.25">
      <c r="B42" s="5" t="s">
        <v>173</v>
      </c>
      <c r="C42" s="90">
        <f t="shared" ref="C42:D44" si="9">IF(C19=1,1,C19*0.9)</f>
        <v>1</v>
      </c>
      <c r="D42" s="90">
        <f t="shared" si="9"/>
        <v>1</v>
      </c>
      <c r="E42" s="90">
        <f>IF(ISBLANK('Nutritional status distribution'!E$14),0.54,(0.54*'Nutritional status distribution'!E$14/(1-0.54*'Nutritional status distribution'!E$14))
/ ('Nutritional status distribution'!E$14/(1-'Nutritional status distribution'!E$14)))</f>
        <v>0.40922611745369653</v>
      </c>
      <c r="F42" s="90">
        <f>IF(ISBLANK('Nutritional status distribution'!F$14),0.54,(0.54*'Nutritional status distribution'!F$14/(1-0.54*'Nutritional status distribution'!F$14))
/ ('Nutritional status distribution'!F$14/(1-'Nutritional status distribution'!F$14)))</f>
        <v>0.43475569617027621</v>
      </c>
      <c r="G42" s="90">
        <f>IF(ISBLANK('Nutritional status distribution'!G$14),0.54,(0.54*'Nutritional status distribution'!G$14/(1-0.54*'Nutritional status distribution'!G$14))
/ ('Nutritional status distribution'!G$14/(1-'Nutritional status distribution'!G$14)))</f>
        <v>0.43475569617027621</v>
      </c>
      <c r="H42" s="90">
        <f>IF(ISBLANK('Nutritional status distribution'!H$14),0.54,(0.54*'Nutritional status distribution'!H$14/(1-0.54*'Nutritional status distribution'!H$14))
/ ('Nutritional status distribution'!H$14/(1-'Nutritional status distribution'!H$14)))</f>
        <v>0.48021424212976577</v>
      </c>
      <c r="I42" s="90">
        <f>IF(ISBLANK('Nutritional status distribution'!I$14),0.54,(0.54*'Nutritional status distribution'!I$14/(1-0.54*'Nutritional status distribution'!I$14))
/ ('Nutritional status distribution'!I$14/(1-'Nutritional status distribution'!I$14)))</f>
        <v>0.48021424212976577</v>
      </c>
      <c r="J42" s="90">
        <f>IF(ISBLANK('Nutritional status distribution'!J$14),0.54,(0.54*'Nutritional status distribution'!J$14/(1-0.54*'Nutritional status distribution'!J$14))
/ ('Nutritional status distribution'!J$14/(1-'Nutritional status distribution'!J$14)))</f>
        <v>0.48021424212976577</v>
      </c>
      <c r="K42" s="90">
        <f>IF(ISBLANK('Nutritional status distribution'!K$14),0.54,(0.54*'Nutritional status distribution'!K$14/(1-0.54*'Nutritional status distribution'!K$14))
/ ('Nutritional status distribution'!K$14/(1-'Nutritional status distribution'!K$14)))</f>
        <v>0.48021424212976577</v>
      </c>
      <c r="L42" s="90">
        <f>IF(ISBLANK('Nutritional status distribution'!L$14),0.54,(0.54*'Nutritional status distribution'!L$14/(1-0.54*'Nutritional status distribution'!L$14))
/ ('Nutritional status distribution'!L$14/(1-'Nutritional status distribution'!L$14)))</f>
        <v>0.47894247978070281</v>
      </c>
      <c r="M42" s="90">
        <f>IF(ISBLANK('Nutritional status distribution'!M$14),0.54,(0.54*'Nutritional status distribution'!M$14/(1-0.54*'Nutritional status distribution'!M$14))
/ ('Nutritional status distribution'!M$14/(1-'Nutritional status distribution'!M$14)))</f>
        <v>0.47894247978070281</v>
      </c>
      <c r="N42" s="90">
        <f>IF(ISBLANK('Nutritional status distribution'!N$14),0.54,(0.54*'Nutritional status distribution'!N$14/(1-0.54*'Nutritional status distribution'!N$14))
/ ('Nutritional status distribution'!N$14/(1-'Nutritional status distribution'!N$14)))</f>
        <v>0.47894247978070281</v>
      </c>
      <c r="O42" s="90">
        <f>IF(ISBLANK('Nutritional status distribution'!O$14),0.54,(0.54*'Nutritional status distribution'!O$14/(1-0.54*'Nutritional status distribution'!O$14))
/ ('Nutritional status distribution'!O$14/(1-'Nutritional status distribution'!O$14)))</f>
        <v>0.47894247978070281</v>
      </c>
    </row>
    <row r="43" spans="1:15" x14ac:dyDescent="0.25">
      <c r="B43" s="5" t="s">
        <v>174</v>
      </c>
      <c r="C43" s="90">
        <f t="shared" si="9"/>
        <v>1</v>
      </c>
      <c r="D43" s="90">
        <f t="shared" si="9"/>
        <v>1</v>
      </c>
      <c r="E43" s="90">
        <f t="shared" ref="E43:O43" si="10">IF(E20=1,1,E20*0.9)</f>
        <v>1</v>
      </c>
      <c r="F43" s="90">
        <f t="shared" si="10"/>
        <v>1</v>
      </c>
      <c r="G43" s="90">
        <f t="shared" si="10"/>
        <v>1</v>
      </c>
      <c r="H43" s="90">
        <f t="shared" si="10"/>
        <v>1</v>
      </c>
      <c r="I43" s="90">
        <f t="shared" si="10"/>
        <v>1</v>
      </c>
      <c r="J43" s="90">
        <f t="shared" si="10"/>
        <v>1</v>
      </c>
      <c r="K43" s="90">
        <f t="shared" si="10"/>
        <v>1</v>
      </c>
      <c r="L43" s="90">
        <f t="shared" si="10"/>
        <v>1</v>
      </c>
      <c r="M43" s="90">
        <f t="shared" si="10"/>
        <v>1</v>
      </c>
      <c r="N43" s="90">
        <f t="shared" si="10"/>
        <v>1</v>
      </c>
      <c r="O43" s="90">
        <f t="shared" si="10"/>
        <v>1</v>
      </c>
    </row>
    <row r="44" spans="1:15" x14ac:dyDescent="0.25">
      <c r="B44" s="5" t="s">
        <v>182</v>
      </c>
      <c r="C44" s="90">
        <f t="shared" si="9"/>
        <v>1</v>
      </c>
      <c r="D44" s="90">
        <f t="shared" si="9"/>
        <v>1</v>
      </c>
      <c r="E44" s="90">
        <f>IF(ISBLANK('Nutritional status distribution'!E$14),0.7,(0.7*'Nutritional status distribution'!E$14/(1-0.7*'Nutritional status distribution'!E$14))
/ ('Nutritional status distribution'!E$14/(1-'Nutritional status distribution'!E$14)))</f>
        <v>0.57927300572530027</v>
      </c>
      <c r="F44" s="90">
        <f>IF(ISBLANK('Nutritional status distribution'!F$14),0.7,(0.7*'Nutritional status distribution'!F$14/(1-0.7*'Nutritional status distribution'!F$14))
/ ('Nutritional status distribution'!F$14/(1-'Nutritional status distribution'!F$14)))</f>
        <v>0.60455511825447283</v>
      </c>
      <c r="G44" s="90">
        <f>IF(ISBLANK('Nutritional status distribution'!G$14),0.7,(0.7*'Nutritional status distribution'!G$14/(1-0.7*'Nutritional status distribution'!G$14))
/ ('Nutritional status distribution'!G$14/(1-'Nutritional status distribution'!G$14)))</f>
        <v>0.60455511825447283</v>
      </c>
      <c r="H44" s="90">
        <f>IF(ISBLANK('Nutritional status distribution'!H$14),0.7,(0.7*'Nutritional status distribution'!H$14/(1-0.7*'Nutritional status distribution'!H$14))
/ ('Nutritional status distribution'!H$14/(1-'Nutritional status distribution'!H$14)))</f>
        <v>0.64743213068515693</v>
      </c>
      <c r="I44" s="90">
        <f>IF(ISBLANK('Nutritional status distribution'!I$14),0.7,(0.7*'Nutritional status distribution'!I$14/(1-0.7*'Nutritional status distribution'!I$14))
/ ('Nutritional status distribution'!I$14/(1-'Nutritional status distribution'!I$14)))</f>
        <v>0.64743213068515693</v>
      </c>
      <c r="J44" s="90">
        <f>IF(ISBLANK('Nutritional status distribution'!J$14),0.7,(0.7*'Nutritional status distribution'!J$14/(1-0.7*'Nutritional status distribution'!J$14))
/ ('Nutritional status distribution'!J$14/(1-'Nutritional status distribution'!J$14)))</f>
        <v>0.64743213068515693</v>
      </c>
      <c r="K44" s="90">
        <f>IF(ISBLANK('Nutritional status distribution'!K$14),0.7,(0.7*'Nutritional status distribution'!K$14/(1-0.7*'Nutritional status distribution'!K$14))
/ ('Nutritional status distribution'!K$14/(1-'Nutritional status distribution'!K$14)))</f>
        <v>0.64743213068515693</v>
      </c>
      <c r="L44" s="90">
        <f>IF(ISBLANK('Nutritional status distribution'!L$14),0.7,(0.7*'Nutritional status distribution'!L$14/(1-0.7*'Nutritional status distribution'!L$14))
/ ('Nutritional status distribution'!L$14/(1-'Nutritional status distribution'!L$14)))</f>
        <v>0.64626812875840101</v>
      </c>
      <c r="M44" s="90">
        <f>IF(ISBLANK('Nutritional status distribution'!M$14),0.7,(0.7*'Nutritional status distribution'!M$14/(1-0.7*'Nutritional status distribution'!M$14))
/ ('Nutritional status distribution'!M$14/(1-'Nutritional status distribution'!M$14)))</f>
        <v>0.64626812875840101</v>
      </c>
      <c r="N44" s="90">
        <f>IF(ISBLANK('Nutritional status distribution'!N$14),0.7,(0.7*'Nutritional status distribution'!N$14/(1-0.7*'Nutritional status distribution'!N$14))
/ ('Nutritional status distribution'!N$14/(1-'Nutritional status distribution'!N$14)))</f>
        <v>0.64626812875840101</v>
      </c>
      <c r="O44" s="90">
        <f>IF(ISBLANK('Nutritional status distribution'!O$14),0.7,(0.7*'Nutritional status distribution'!O$14/(1-0.7*'Nutritional status distribution'!O$14))
/ ('Nutritional status distribution'!O$14/(1-'Nutritional status distribution'!O$14)))</f>
        <v>0.64626812875840101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ht="13" customHeight="1" x14ac:dyDescent="0.3">
      <c r="A48" s="4" t="s">
        <v>326</v>
      </c>
    </row>
    <row r="49" spans="1:15" x14ac:dyDescent="0.25">
      <c r="B49" s="11" t="s">
        <v>170</v>
      </c>
      <c r="C49" s="90">
        <v>0.7</v>
      </c>
      <c r="D49" s="90">
        <v>0.7</v>
      </c>
      <c r="E49" s="90">
        <f t="shared" ref="E49:O49" si="11">IF(E3=1,1,E3*1.05)</f>
        <v>1</v>
      </c>
      <c r="F49" s="90">
        <f t="shared" si="11"/>
        <v>1</v>
      </c>
      <c r="G49" s="90">
        <f t="shared" si="11"/>
        <v>1</v>
      </c>
      <c r="H49" s="90">
        <f t="shared" si="11"/>
        <v>1</v>
      </c>
      <c r="I49" s="90">
        <f t="shared" si="11"/>
        <v>1</v>
      </c>
      <c r="J49" s="90">
        <f t="shared" si="11"/>
        <v>1</v>
      </c>
      <c r="K49" s="90">
        <f t="shared" si="11"/>
        <v>1</v>
      </c>
      <c r="L49" s="90">
        <f t="shared" si="11"/>
        <v>1</v>
      </c>
      <c r="M49" s="90">
        <f t="shared" si="11"/>
        <v>1</v>
      </c>
      <c r="N49" s="90">
        <f t="shared" si="11"/>
        <v>1</v>
      </c>
      <c r="O49" s="90">
        <f t="shared" si="11"/>
        <v>1</v>
      </c>
    </row>
    <row r="50" spans="1:15" x14ac:dyDescent="0.25">
      <c r="B50" s="11" t="s">
        <v>175</v>
      </c>
      <c r="C50" s="90">
        <f t="shared" ref="C50:G56" si="12">IF(C4=1,1,C4*1.05)</f>
        <v>1</v>
      </c>
      <c r="D50" s="90">
        <f t="shared" si="12"/>
        <v>1</v>
      </c>
      <c r="E50" s="90">
        <f t="shared" si="12"/>
        <v>1</v>
      </c>
      <c r="F50" s="90">
        <f t="shared" si="12"/>
        <v>1</v>
      </c>
      <c r="G50" s="90">
        <f t="shared" si="12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3">IF(L4=1,1,L4*1.05)</f>
        <v>1</v>
      </c>
      <c r="M50" s="90">
        <f t="shared" si="13"/>
        <v>1</v>
      </c>
      <c r="N50" s="90">
        <f t="shared" si="13"/>
        <v>1</v>
      </c>
      <c r="O50" s="90">
        <f t="shared" si="13"/>
        <v>1</v>
      </c>
    </row>
    <row r="51" spans="1:15" x14ac:dyDescent="0.25">
      <c r="B51" s="11" t="s">
        <v>176</v>
      </c>
      <c r="C51" s="90">
        <f t="shared" si="12"/>
        <v>1</v>
      </c>
      <c r="D51" s="90">
        <f t="shared" si="12"/>
        <v>1</v>
      </c>
      <c r="E51" s="90">
        <f t="shared" si="12"/>
        <v>1</v>
      </c>
      <c r="F51" s="90">
        <f t="shared" si="12"/>
        <v>1</v>
      </c>
      <c r="G51" s="90">
        <f t="shared" si="12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3"/>
        <v>1</v>
      </c>
      <c r="M51" s="90">
        <f t="shared" si="13"/>
        <v>1</v>
      </c>
      <c r="N51" s="90">
        <f t="shared" si="13"/>
        <v>1</v>
      </c>
      <c r="O51" s="90">
        <f t="shared" si="13"/>
        <v>1</v>
      </c>
    </row>
    <row r="52" spans="1:15" x14ac:dyDescent="0.25">
      <c r="B52" s="11" t="s">
        <v>177</v>
      </c>
      <c r="C52" s="90">
        <f t="shared" si="12"/>
        <v>1</v>
      </c>
      <c r="D52" s="90">
        <f t="shared" si="12"/>
        <v>1</v>
      </c>
      <c r="E52" s="90">
        <f t="shared" si="12"/>
        <v>1</v>
      </c>
      <c r="F52" s="90">
        <f t="shared" si="12"/>
        <v>1</v>
      </c>
      <c r="G52" s="90">
        <f t="shared" si="12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3"/>
        <v>1</v>
      </c>
      <c r="M52" s="90">
        <f t="shared" si="13"/>
        <v>1</v>
      </c>
      <c r="N52" s="90">
        <f t="shared" si="13"/>
        <v>1</v>
      </c>
      <c r="O52" s="90">
        <f t="shared" si="13"/>
        <v>1</v>
      </c>
    </row>
    <row r="53" spans="1:15" x14ac:dyDescent="0.25">
      <c r="B53" s="11" t="s">
        <v>178</v>
      </c>
      <c r="C53" s="90">
        <f t="shared" si="12"/>
        <v>1</v>
      </c>
      <c r="D53" s="90">
        <f t="shared" si="12"/>
        <v>1</v>
      </c>
      <c r="E53" s="90">
        <f t="shared" si="12"/>
        <v>1</v>
      </c>
      <c r="F53" s="90">
        <f t="shared" si="12"/>
        <v>1</v>
      </c>
      <c r="G53" s="90">
        <f t="shared" si="12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3"/>
        <v>1</v>
      </c>
      <c r="M53" s="90">
        <f t="shared" si="13"/>
        <v>1</v>
      </c>
      <c r="N53" s="90">
        <f t="shared" si="13"/>
        <v>1</v>
      </c>
      <c r="O53" s="90">
        <f t="shared" si="13"/>
        <v>1</v>
      </c>
    </row>
    <row r="54" spans="1:15" x14ac:dyDescent="0.25">
      <c r="B54" s="5" t="s">
        <v>179</v>
      </c>
      <c r="C54" s="90">
        <f t="shared" si="12"/>
        <v>1</v>
      </c>
      <c r="D54" s="90">
        <f t="shared" si="12"/>
        <v>1</v>
      </c>
      <c r="E54" s="90">
        <f t="shared" si="12"/>
        <v>1</v>
      </c>
      <c r="F54" s="90">
        <f t="shared" si="12"/>
        <v>1</v>
      </c>
      <c r="G54" s="90">
        <f t="shared" si="12"/>
        <v>1</v>
      </c>
      <c r="H54" s="90">
        <f t="shared" ref="H54:K57" si="14">IF(H8=1,1,H8*1.05)</f>
        <v>1</v>
      </c>
      <c r="I54" s="90">
        <f t="shared" si="14"/>
        <v>1</v>
      </c>
      <c r="J54" s="90">
        <f t="shared" si="14"/>
        <v>1</v>
      </c>
      <c r="K54" s="90">
        <f t="shared" si="14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180</v>
      </c>
      <c r="C55" s="90">
        <f t="shared" si="12"/>
        <v>1</v>
      </c>
      <c r="D55" s="90">
        <f t="shared" si="12"/>
        <v>1</v>
      </c>
      <c r="E55" s="90">
        <f t="shared" si="12"/>
        <v>1</v>
      </c>
      <c r="F55" s="90">
        <f t="shared" si="12"/>
        <v>1</v>
      </c>
      <c r="G55" s="90">
        <f t="shared" si="12"/>
        <v>1</v>
      </c>
      <c r="H55" s="90">
        <f t="shared" si="14"/>
        <v>1</v>
      </c>
      <c r="I55" s="90">
        <f t="shared" si="14"/>
        <v>1</v>
      </c>
      <c r="J55" s="90">
        <f t="shared" si="14"/>
        <v>1</v>
      </c>
      <c r="K55" s="90">
        <f t="shared" si="14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181</v>
      </c>
      <c r="C56" s="90">
        <f t="shared" si="12"/>
        <v>1</v>
      </c>
      <c r="D56" s="90">
        <f t="shared" si="12"/>
        <v>1</v>
      </c>
      <c r="E56" s="90">
        <f t="shared" si="12"/>
        <v>1</v>
      </c>
      <c r="F56" s="90">
        <f t="shared" si="12"/>
        <v>1</v>
      </c>
      <c r="G56" s="90">
        <f t="shared" si="12"/>
        <v>1</v>
      </c>
      <c r="H56" s="90">
        <f t="shared" si="14"/>
        <v>1</v>
      </c>
      <c r="I56" s="90">
        <f t="shared" si="14"/>
        <v>1</v>
      </c>
      <c r="J56" s="90">
        <f t="shared" si="14"/>
        <v>1</v>
      </c>
      <c r="K56" s="90">
        <f t="shared" si="14"/>
        <v>1</v>
      </c>
      <c r="L56" s="90">
        <v>0.93</v>
      </c>
      <c r="M56" s="90">
        <v>0.93</v>
      </c>
      <c r="N56" s="90">
        <v>0.93</v>
      </c>
      <c r="O56" s="90">
        <v>0.93</v>
      </c>
    </row>
    <row r="57" spans="1:15" x14ac:dyDescent="0.25">
      <c r="B57" s="5" t="s">
        <v>184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4"/>
        <v>1</v>
      </c>
      <c r="I57" s="90">
        <f t="shared" si="14"/>
        <v>1</v>
      </c>
      <c r="J57" s="90">
        <f t="shared" si="14"/>
        <v>1</v>
      </c>
      <c r="K57" s="90">
        <f t="shared" si="14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185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188</v>
      </c>
      <c r="C59" s="90">
        <f t="shared" ref="C59:D61" si="15">IF(C13=1,1,C13*1.05)</f>
        <v>1</v>
      </c>
      <c r="D59" s="90">
        <f t="shared" si="15"/>
        <v>1</v>
      </c>
      <c r="E59" s="90">
        <v>0.77</v>
      </c>
      <c r="F59" s="90">
        <v>0.77</v>
      </c>
      <c r="G59" s="90">
        <v>0.77</v>
      </c>
      <c r="H59" s="90">
        <f t="shared" ref="H59:O59" si="16">IF(H13=1,1,H13*1.05)</f>
        <v>1</v>
      </c>
      <c r="I59" s="90">
        <f t="shared" si="16"/>
        <v>1</v>
      </c>
      <c r="J59" s="90">
        <f t="shared" si="16"/>
        <v>1</v>
      </c>
      <c r="K59" s="90">
        <f t="shared" si="16"/>
        <v>1</v>
      </c>
      <c r="L59" s="90">
        <f t="shared" si="16"/>
        <v>1</v>
      </c>
      <c r="M59" s="90">
        <f t="shared" si="16"/>
        <v>1</v>
      </c>
      <c r="N59" s="90">
        <f t="shared" si="16"/>
        <v>1</v>
      </c>
      <c r="O59" s="90">
        <f t="shared" si="16"/>
        <v>1</v>
      </c>
    </row>
    <row r="60" spans="1:15" x14ac:dyDescent="0.25">
      <c r="B60" s="11" t="s">
        <v>189</v>
      </c>
      <c r="C60" s="90">
        <f t="shared" si="15"/>
        <v>1</v>
      </c>
      <c r="D60" s="90">
        <f t="shared" si="15"/>
        <v>1</v>
      </c>
      <c r="E60" s="90">
        <f t="shared" ref="E60:K60" si="17">IF(E14=1,1,E14*1.05)</f>
        <v>1</v>
      </c>
      <c r="F60" s="90">
        <f t="shared" si="17"/>
        <v>1</v>
      </c>
      <c r="G60" s="90">
        <f t="shared" si="17"/>
        <v>1</v>
      </c>
      <c r="H60" s="90">
        <f t="shared" si="17"/>
        <v>1</v>
      </c>
      <c r="I60" s="90">
        <f t="shared" si="17"/>
        <v>1</v>
      </c>
      <c r="J60" s="90">
        <f t="shared" si="17"/>
        <v>1</v>
      </c>
      <c r="K60" s="90">
        <f t="shared" si="17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192</v>
      </c>
      <c r="C61" s="90">
        <f t="shared" si="15"/>
        <v>1</v>
      </c>
      <c r="D61" s="90">
        <f t="shared" si="15"/>
        <v>1</v>
      </c>
      <c r="E61" s="90">
        <v>0.44</v>
      </c>
      <c r="F61" s="90">
        <v>0.44</v>
      </c>
      <c r="G61" s="90">
        <f t="shared" ref="G61:O61" si="18">IF(G15=1,1,G15*1.05)</f>
        <v>1</v>
      </c>
      <c r="H61" s="90">
        <f t="shared" si="18"/>
        <v>1</v>
      </c>
      <c r="I61" s="90">
        <f t="shared" si="18"/>
        <v>1</v>
      </c>
      <c r="J61" s="90">
        <f t="shared" si="18"/>
        <v>1</v>
      </c>
      <c r="K61" s="90">
        <f t="shared" si="18"/>
        <v>1</v>
      </c>
      <c r="L61" s="90">
        <f t="shared" si="18"/>
        <v>1</v>
      </c>
      <c r="M61" s="90">
        <f t="shared" si="18"/>
        <v>1</v>
      </c>
      <c r="N61" s="90">
        <f t="shared" si="18"/>
        <v>1</v>
      </c>
      <c r="O61" s="90">
        <f t="shared" si="18"/>
        <v>1</v>
      </c>
    </row>
    <row r="63" spans="1:15" ht="13" customHeight="1" x14ac:dyDescent="0.3">
      <c r="A63" s="4" t="s">
        <v>327</v>
      </c>
      <c r="B63" s="11"/>
    </row>
    <row r="64" spans="1:15" x14ac:dyDescent="0.25">
      <c r="B64" s="5" t="s">
        <v>172</v>
      </c>
      <c r="C64" s="90">
        <f t="shared" ref="C64:O64" si="19">IF(C18=1,1,C18*1.05)</f>
        <v>1</v>
      </c>
      <c r="D64" s="90">
        <f t="shared" si="19"/>
        <v>1</v>
      </c>
      <c r="E64" s="90">
        <f t="shared" si="19"/>
        <v>1</v>
      </c>
      <c r="F64" s="90">
        <f t="shared" si="19"/>
        <v>1</v>
      </c>
      <c r="G64" s="90">
        <f t="shared" si="19"/>
        <v>1</v>
      </c>
      <c r="H64" s="90">
        <f t="shared" si="19"/>
        <v>1</v>
      </c>
      <c r="I64" s="90">
        <f t="shared" si="19"/>
        <v>1</v>
      </c>
      <c r="J64" s="90">
        <f t="shared" si="19"/>
        <v>1</v>
      </c>
      <c r="K64" s="90">
        <f t="shared" si="19"/>
        <v>1</v>
      </c>
      <c r="L64" s="90">
        <f t="shared" si="19"/>
        <v>1</v>
      </c>
      <c r="M64" s="90">
        <f t="shared" si="19"/>
        <v>1</v>
      </c>
      <c r="N64" s="90">
        <f t="shared" si="19"/>
        <v>1</v>
      </c>
      <c r="O64" s="90">
        <f t="shared" si="19"/>
        <v>1</v>
      </c>
    </row>
    <row r="65" spans="2:15" x14ac:dyDescent="0.25">
      <c r="B65" s="5" t="s">
        <v>173</v>
      </c>
      <c r="C65" s="90">
        <f t="shared" ref="C65:D67" si="20">IF(C19=1,1,C19*1.05)</f>
        <v>1</v>
      </c>
      <c r="D65" s="90">
        <f t="shared" si="20"/>
        <v>1</v>
      </c>
      <c r="E65" s="90">
        <f>IF(ISBLANK('Nutritional status distribution'!E$14),0.97,(0.97*'Nutritional status distribution'!E$14/(1-0.97*'Nutritional status distribution'!E$14))
/ ('Nutritional status distribution'!E$14/(1-'Nutritional status distribution'!E$14)))</f>
        <v>0.95019683183186299</v>
      </c>
      <c r="F65" s="90">
        <f>IF(ISBLANK('Nutritional status distribution'!F$14),0.97,(0.97*'Nutritional status distribution'!F$14/(1-0.97*'Nutritional status distribution'!F$14))
/ ('Nutritional status distribution'!F$14/(1-'Nutritional status distribution'!F$14)))</f>
        <v>0.95492401976423313</v>
      </c>
      <c r="G65" s="90">
        <f>IF(ISBLANK('Nutritional status distribution'!G$14),0.97,(0.97*'Nutritional status distribution'!G$14/(1-0.97*'Nutritional status distribution'!G$14))
/ ('Nutritional status distribution'!G$14/(1-'Nutritional status distribution'!G$14)))</f>
        <v>0.95492401976423313</v>
      </c>
      <c r="H65" s="90">
        <f>IF(ISBLANK('Nutritional status distribution'!H$14),0.97,(0.97*'Nutritional status distribution'!H$14/(1-0.97*'Nutritional status distribution'!H$14))
/ ('Nutritional status distribution'!H$14/(1-'Nutritional status distribution'!H$14)))</f>
        <v>0.96218757483709161</v>
      </c>
      <c r="I65" s="90">
        <f>IF(ISBLANK('Nutritional status distribution'!I$14),0.97,(0.97*'Nutritional status distribution'!I$14/(1-0.97*'Nutritional status distribution'!I$14))
/ ('Nutritional status distribution'!I$14/(1-'Nutritional status distribution'!I$14)))</f>
        <v>0.96218757483709161</v>
      </c>
      <c r="J65" s="90">
        <f>IF(ISBLANK('Nutritional status distribution'!J$14),0.97,(0.97*'Nutritional status distribution'!J$14/(1-0.97*'Nutritional status distribution'!J$14))
/ ('Nutritional status distribution'!J$14/(1-'Nutritional status distribution'!J$14)))</f>
        <v>0.96218757483709161</v>
      </c>
      <c r="K65" s="90">
        <f>IF(ISBLANK('Nutritional status distribution'!K$14),0.97,(0.97*'Nutritional status distribution'!K$14/(1-0.97*'Nutritional status distribution'!K$14))
/ ('Nutritional status distribution'!K$14/(1-'Nutritional status distribution'!K$14)))</f>
        <v>0.96218757483709161</v>
      </c>
      <c r="L65" s="90">
        <f>IF(ISBLANK('Nutritional status distribution'!L$14),0.97,(0.97*'Nutritional status distribution'!L$14/(1-0.97*'Nutritional status distribution'!L$14))
/ ('Nutritional status distribution'!L$14/(1-'Nutritional status distribution'!L$14)))</f>
        <v>0.96200174791959558</v>
      </c>
      <c r="M65" s="90">
        <f>IF(ISBLANK('Nutritional status distribution'!M$14),0.97,(0.97*'Nutritional status distribution'!M$14/(1-0.97*'Nutritional status distribution'!M$14))
/ ('Nutritional status distribution'!M$14/(1-'Nutritional status distribution'!M$14)))</f>
        <v>0.96200174791959558</v>
      </c>
      <c r="N65" s="90">
        <f>IF(ISBLANK('Nutritional status distribution'!N$14),0.97,(0.97*'Nutritional status distribution'!N$14/(1-0.97*'Nutritional status distribution'!N$14))
/ ('Nutritional status distribution'!N$14/(1-'Nutritional status distribution'!N$14)))</f>
        <v>0.96200174791959558</v>
      </c>
      <c r="O65" s="90">
        <f>IF(ISBLANK('Nutritional status distribution'!O$14),0.97,(0.97*'Nutritional status distribution'!O$14/(1-0.97*'Nutritional status distribution'!O$14))
/ ('Nutritional status distribution'!O$14/(1-'Nutritional status distribution'!O$14)))</f>
        <v>0.96200174791959558</v>
      </c>
    </row>
    <row r="66" spans="2:15" x14ac:dyDescent="0.25">
      <c r="B66" s="5" t="s">
        <v>174</v>
      </c>
      <c r="C66" s="90">
        <f t="shared" si="20"/>
        <v>1</v>
      </c>
      <c r="D66" s="90">
        <f t="shared" si="20"/>
        <v>1</v>
      </c>
      <c r="E66" s="90">
        <f t="shared" ref="E66:O66" si="21">IF(E20=1,1,E20*1.05)</f>
        <v>1</v>
      </c>
      <c r="F66" s="90">
        <f t="shared" si="21"/>
        <v>1</v>
      </c>
      <c r="G66" s="90">
        <f t="shared" si="21"/>
        <v>1</v>
      </c>
      <c r="H66" s="90">
        <f t="shared" si="21"/>
        <v>1</v>
      </c>
      <c r="I66" s="90">
        <f t="shared" si="21"/>
        <v>1</v>
      </c>
      <c r="J66" s="90">
        <f t="shared" si="21"/>
        <v>1</v>
      </c>
      <c r="K66" s="90">
        <f t="shared" si="21"/>
        <v>1</v>
      </c>
      <c r="L66" s="90">
        <f t="shared" si="21"/>
        <v>1</v>
      </c>
      <c r="M66" s="90">
        <f t="shared" si="21"/>
        <v>1</v>
      </c>
      <c r="N66" s="90">
        <f t="shared" si="21"/>
        <v>1</v>
      </c>
      <c r="O66" s="90">
        <f t="shared" si="21"/>
        <v>1</v>
      </c>
    </row>
    <row r="67" spans="2:15" x14ac:dyDescent="0.25">
      <c r="B67" s="5" t="s">
        <v>182</v>
      </c>
      <c r="C67" s="90">
        <f t="shared" si="20"/>
        <v>1</v>
      </c>
      <c r="D67" s="90">
        <f t="shared" si="20"/>
        <v>1</v>
      </c>
      <c r="E67" s="90">
        <f>IF(ISBLANK('Nutritional status distribution'!E$14),0.92,(0.92*'Nutritional status distribution'!E$14/(1-0.92*'Nutritional status distribution'!E$14))
/ ('Nutritional status distribution'!E$14/(1-'Nutritional status distribution'!E$14)))</f>
        <v>0.8715617978013811</v>
      </c>
      <c r="F67" s="90">
        <f>IF(ISBLANK('Nutritional status distribution'!F$14),0.92,(0.92*'Nutritional status distribution'!F$14/(1-0.92*'Nutritional status distribution'!F$14))
/ ('Nutritional status distribution'!F$14/(1-'Nutritional status distribution'!F$14)))</f>
        <v>0.88283246413917738</v>
      </c>
      <c r="G67" s="90">
        <f>IF(ISBLANK('Nutritional status distribution'!G$14),0.92,(0.92*'Nutritional status distribution'!G$14/(1-0.92*'Nutritional status distribution'!G$14))
/ ('Nutritional status distribution'!G$14/(1-'Nutritional status distribution'!G$14)))</f>
        <v>0.88283246413917738</v>
      </c>
      <c r="H67" s="90">
        <f>IF(ISBLANK('Nutritional status distribution'!H$14),0.92,(0.92*'Nutritional status distribution'!H$14/(1-0.92*'Nutritional status distribution'!H$14))
/ ('Nutritional status distribution'!H$14/(1-'Nutritional status distribution'!H$14)))</f>
        <v>0.90050246256405164</v>
      </c>
      <c r="I67" s="90">
        <f>IF(ISBLANK('Nutritional status distribution'!I$14),0.92,(0.92*'Nutritional status distribution'!I$14/(1-0.92*'Nutritional status distribution'!I$14))
/ ('Nutritional status distribution'!I$14/(1-'Nutritional status distribution'!I$14)))</f>
        <v>0.90050246256405164</v>
      </c>
      <c r="J67" s="90">
        <f>IF(ISBLANK('Nutritional status distribution'!J$14),0.92,(0.92*'Nutritional status distribution'!J$14/(1-0.92*'Nutritional status distribution'!J$14))
/ ('Nutritional status distribution'!J$14/(1-'Nutritional status distribution'!J$14)))</f>
        <v>0.90050246256405164</v>
      </c>
      <c r="K67" s="90">
        <f>IF(ISBLANK('Nutritional status distribution'!K$14),0.92,(0.92*'Nutritional status distribution'!K$14/(1-0.92*'Nutritional status distribution'!K$14))
/ ('Nutritional status distribution'!K$14/(1-'Nutritional status distribution'!K$14)))</f>
        <v>0.90050246256405164</v>
      </c>
      <c r="L67" s="90">
        <f>IF(ISBLANK('Nutritional status distribution'!L$14),0.92,(0.92*'Nutritional status distribution'!L$14/(1-0.92*'Nutritional status distribution'!L$14))
/ ('Nutritional status distribution'!L$14/(1-'Nutritional status distribution'!L$14)))</f>
        <v>0.90004497975910858</v>
      </c>
      <c r="M67" s="90">
        <f>IF(ISBLANK('Nutritional status distribution'!M$14),0.92,(0.92*'Nutritional status distribution'!M$14/(1-0.92*'Nutritional status distribution'!M$14))
/ ('Nutritional status distribution'!M$14/(1-'Nutritional status distribution'!M$14)))</f>
        <v>0.90004497975910858</v>
      </c>
      <c r="N67" s="90">
        <f>IF(ISBLANK('Nutritional status distribution'!N$14),0.92,(0.92*'Nutritional status distribution'!N$14/(1-0.92*'Nutritional status distribution'!N$14))
/ ('Nutritional status distribution'!N$14/(1-'Nutritional status distribution'!N$14)))</f>
        <v>0.90004497975910858</v>
      </c>
      <c r="O67" s="90">
        <f>IF(ISBLANK('Nutritional status distribution'!O$14),0.92,(0.92*'Nutritional status distribution'!O$14/(1-0.92*'Nutritional status distribution'!O$14))
/ ('Nutritional status distribution'!O$14/(1-'Nutritional status distribution'!O$14)))</f>
        <v>0.90004497975910858</v>
      </c>
    </row>
  </sheetData>
  <sheetProtection algorithmName="SHA-512" hashValue="QTNrTNcX0LQnvnw9OcFIuF8iiKsb7nBsadUCrO1kCxqB4CvEkER3v8YCwNBmR8txM/1IAuOQ/zC/vA8HLWjOhA==" saltValue="f5+QlQPEjGE24L/HhPaCM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E28" sqref="E28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ht="13" customHeight="1" x14ac:dyDescent="0.3">
      <c r="A2" s="4" t="s">
        <v>328</v>
      </c>
    </row>
    <row r="3" spans="1:7" ht="13.25" customHeight="1" x14ac:dyDescent="0.25">
      <c r="B3" s="11" t="s">
        <v>157</v>
      </c>
      <c r="C3" s="90">
        <v>1</v>
      </c>
      <c r="D3" s="90">
        <f>IF(ISBLANK('Nutritional status distribution'!D$11),(1/1.33),((1/1.33)*'Nutritional status distribution'!D$11/(1-(1/1.33)*'Nutritional status distribution'!D$11))
/ ('Nutritional status distribution'!D$11/(1-'Nutritional status distribution'!D$11)))</f>
        <v>0.74813538376485278</v>
      </c>
      <c r="E3" s="90">
        <f>IF(ISBLANK('Nutritional status distribution'!E$11),(1/1.33),((1/1.33)*'Nutritional status distribution'!E$11/(1-(1/1.33)*'Nutritional status distribution'!E$11))
/ ('Nutritional status distribution'!E$11/(1-'Nutritional status distribution'!E$11)))</f>
        <v>0.75096916651553103</v>
      </c>
      <c r="F3" s="90">
        <f>IF(ISBLANK('Nutritional status distribution'!F$11),(1/1.33),((1/1.33)*'Nutritional status distribution'!F$11/(1-(1/1.33)*'Nutritional status distribution'!F$11))
/ ('Nutritional status distribution'!F$11/(1-'Nutritional status distribution'!F$11)))</f>
        <v>0.75017352355269951</v>
      </c>
      <c r="G3" s="90">
        <f>IF(ISBLANK('Nutritional status distribution'!G$11),(1/1.33),((1/1.33)*'Nutritional status distribution'!G$11/(1-(1/1.33)*'Nutritional status distribution'!G$11))
/ ('Nutritional status distribution'!G$11/(1-'Nutritional status distribution'!G$11)))</f>
        <v>0.75143444318485153</v>
      </c>
    </row>
    <row r="4" spans="1:7" ht="13" customHeight="1" x14ac:dyDescent="0.3">
      <c r="A4" s="4" t="s">
        <v>329</v>
      </c>
      <c r="B4" s="11"/>
      <c r="C4" s="83"/>
      <c r="D4" s="83"/>
      <c r="E4" s="83"/>
      <c r="F4" s="83"/>
      <c r="G4" s="83"/>
    </row>
    <row r="5" spans="1:7" ht="13.25" customHeight="1" x14ac:dyDescent="0.25">
      <c r="B5" s="5" t="s">
        <v>158</v>
      </c>
      <c r="C5" s="90">
        <v>1</v>
      </c>
      <c r="D5" s="90">
        <f>IF(ISBLANK('Nutritional status distribution'!D$10),(1/1.33),((1/1.33)*'Nutritional status distribution'!D$10/(1-(1/1.33)*'Nutritional status distribution'!D$10))
/ ('Nutritional status distribution'!D$10/(1-'Nutritional status distribution'!D$10)))</f>
        <v>0.74323949212819163</v>
      </c>
      <c r="E5" s="90">
        <f>IF(ISBLANK('Nutritional status distribution'!E$10),(1/1.33),((1/1.33)*'Nutritional status distribution'!E$10/(1-(1/1.33)*'Nutritional status distribution'!E$10))
/ ('Nutritional status distribution'!E$10/(1-'Nutritional status distribution'!E$10)))</f>
        <v>0.75033381948752442</v>
      </c>
      <c r="F5" s="90">
        <f>IF(ISBLANK('Nutritional status distribution'!F$10),(1/1.33),((1/1.33)*'Nutritional status distribution'!F$10/(1-(1/1.33)*'Nutritional status distribution'!F$10))
/ ('Nutritional status distribution'!F$10/(1-'Nutritional status distribution'!F$10)))</f>
        <v>0.75148726487891671</v>
      </c>
      <c r="G5" s="90">
        <f>IF(ISBLANK('Nutritional status distribution'!G$10),(1/1.33),((1/1.33)*'Nutritional status distribution'!G$10/(1-(1/1.33)*'Nutritional status distribution'!G$10))
/ ('Nutritional status distribution'!G$10/(1-'Nutritional status distribution'!G$10)))</f>
        <v>0.74945729621404589</v>
      </c>
    </row>
    <row r="7" spans="1:7" s="92" customFormat="1" ht="13" customHeight="1" x14ac:dyDescent="0.3">
      <c r="A7" s="92" t="s">
        <v>330</v>
      </c>
    </row>
    <row r="8" spans="1:7" ht="13" customHeight="1" x14ac:dyDescent="0.3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ht="13" customHeight="1" x14ac:dyDescent="0.3">
      <c r="A9" s="4" t="s">
        <v>331</v>
      </c>
    </row>
    <row r="10" spans="1:7" ht="13.25" customHeight="1" x14ac:dyDescent="0.25">
      <c r="B10" s="11" t="s">
        <v>157</v>
      </c>
      <c r="C10" s="90">
        <v>1</v>
      </c>
      <c r="D10" s="90">
        <f>IF(ISBLANK('Nutritional status distribution'!D$11),(1/1.54),((1/1.54)*'Nutritional status distribution'!D$11/(1-(1/1.54)*'Nutritional status distribution'!D$11))
/ ('Nutritional status distribution'!D$11/(1-'Nutritional status distribution'!D$11)))</f>
        <v>0.64479005642048137</v>
      </c>
      <c r="E10" s="90">
        <f>IF(ISBLANK('Nutritional status distribution'!E$11),(1/1.54),((1/1.54)*'Nutritional status distribution'!E$11/(1-(1/1.54)*'Nutritional status distribution'!E$11))
/ ('Nutritional status distribution'!E$11/(1-'Nutritional status distribution'!E$11)))</f>
        <v>0.64823989007366878</v>
      </c>
      <c r="F10" s="90">
        <f>IF(ISBLANK('Nutritional status distribution'!F$11),(1/1.54),((1/1.54)*'Nutritional status distribution'!F$11/(1-(1/1.54)*'Nutritional status distribution'!F$11))
/ ('Nutritional status distribution'!F$11/(1-'Nutritional status distribution'!F$11)))</f>
        <v>0.64727019415256593</v>
      </c>
      <c r="G10" s="90">
        <f>IF(ISBLANK('Nutritional status distribution'!G$11),(1/1.54),((1/1.54)*'Nutritional status distribution'!G$11/(1-(1/1.54)*'Nutritional status distribution'!G$11))
/ ('Nutritional status distribution'!G$11/(1-'Nutritional status distribution'!G$11)))</f>
        <v>0.6488073424257047</v>
      </c>
    </row>
    <row r="11" spans="1:7" ht="13" customHeight="1" x14ac:dyDescent="0.3">
      <c r="A11" s="4" t="s">
        <v>332</v>
      </c>
      <c r="B11" s="11"/>
      <c r="C11" s="83"/>
      <c r="D11" s="83"/>
      <c r="E11" s="83"/>
      <c r="F11" s="83"/>
      <c r="G11" s="83"/>
    </row>
    <row r="12" spans="1:7" ht="13.25" customHeight="1" x14ac:dyDescent="0.25">
      <c r="B12" s="5" t="s">
        <v>158</v>
      </c>
      <c r="C12" s="90">
        <v>1</v>
      </c>
      <c r="D12" s="90">
        <f>IF(ISBLANK('Nutritional status distribution'!D$10),(1/1.54),((1/1.54)*'Nutritional status distribution'!D$10/(1-(1/1.54)*'Nutritional status distribution'!D$10))
/ ('Nutritional status distribution'!D$10/(1-'Nutritional status distribution'!D$10)))</f>
        <v>0.63885502138064265</v>
      </c>
      <c r="E12" s="90">
        <f>IF(ISBLANK('Nutritional status distribution'!E$10),(1/1.54),((1/1.54)*'Nutritional status distribution'!E$10/(1-(1/1.54)*'Nutritional status distribution'!E$10))
/ ('Nutritional status distribution'!E$10/(1-'Nutritional status distribution'!E$10)))</f>
        <v>0.64746548788582425</v>
      </c>
      <c r="F12" s="90">
        <f>IF(ISBLANK('Nutritional status distribution'!F$10),(1/1.54),((1/1.54)*'Nutritional status distribution'!F$10/(1-(1/1.54)*'Nutritional status distribution'!F$10))
/ ('Nutritional status distribution'!F$10/(1-'Nutritional status distribution'!F$10)))</f>
        <v>0.6488717822083353</v>
      </c>
      <c r="G12" s="90">
        <f>IF(ISBLANK('Nutritional status distribution'!G$10),(1/1.54),((1/1.54)*'Nutritional status distribution'!G$10/(1-(1/1.54)*'Nutritional status distribution'!G$10))
/ ('Nutritional status distribution'!G$10/(1-'Nutritional status distribution'!G$10)))</f>
        <v>0.64639801096627558</v>
      </c>
    </row>
    <row r="14" spans="1:7" s="92" customFormat="1" ht="13" customHeight="1" x14ac:dyDescent="0.3">
      <c r="A14" s="92" t="s">
        <v>333</v>
      </c>
    </row>
    <row r="15" spans="1:7" ht="13" customHeight="1" x14ac:dyDescent="0.3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ht="13" customHeight="1" x14ac:dyDescent="0.3">
      <c r="A16" s="4" t="s">
        <v>334</v>
      </c>
    </row>
    <row r="17" spans="1:7" ht="13.25" customHeight="1" x14ac:dyDescent="0.25">
      <c r="B17" s="11" t="s">
        <v>157</v>
      </c>
      <c r="C17" s="90">
        <v>1</v>
      </c>
      <c r="D17" s="90">
        <f>IF(ISBLANK('Nutritional status distribution'!D$11),(1/1.16),((1/1.16)*'Nutritional status distribution'!D$11/(1-(1/1.16)*'Nutritional status distribution'!D$11))
/ ('Nutritional status distribution'!D$11/(1-'Nutritional status distribution'!D$11)))</f>
        <v>0.85967715199332895</v>
      </c>
      <c r="E17" s="90">
        <f>IF(ISBLANK('Nutritional status distribution'!E$11),(1/1.16),((1/1.16)*'Nutritional status distribution'!E$11/(1-(1/1.16)*'Nutritional status distribution'!E$11))
/ ('Nutritional status distribution'!E$11/(1-'Nutritional status distribution'!E$11)))</f>
        <v>0.861488304678242</v>
      </c>
      <c r="F17" s="90">
        <f>IF(ISBLANK('Nutritional status distribution'!F$11),(1/1.16),((1/1.16)*'Nutritional status distribution'!F$11/(1-(1/1.16)*'Nutritional status distribution'!F$11))
/ ('Nutritional status distribution'!F$11/(1-'Nutritional status distribution'!F$11)))</f>
        <v>0.86098039898501788</v>
      </c>
      <c r="G17" s="90">
        <f>IF(ISBLANK('Nutritional status distribution'!G$11),(1/1.16),((1/1.16)*'Nutritional status distribution'!G$11/(1-(1/1.16)*'Nutritional status distribution'!G$11))
/ ('Nutritional status distribution'!G$11/(1-'Nutritional status distribution'!G$11)))</f>
        <v>0.86178509687640859</v>
      </c>
    </row>
    <row r="18" spans="1:7" ht="13" customHeight="1" x14ac:dyDescent="0.3">
      <c r="A18" s="4" t="s">
        <v>335</v>
      </c>
      <c r="B18" s="11"/>
      <c r="C18" s="83"/>
      <c r="D18" s="83"/>
      <c r="E18" s="83"/>
      <c r="F18" s="83"/>
      <c r="G18" s="83"/>
    </row>
    <row r="19" spans="1:7" ht="13.25" customHeight="1" x14ac:dyDescent="0.25">
      <c r="B19" s="5" t="s">
        <v>158</v>
      </c>
      <c r="C19" s="90">
        <v>1</v>
      </c>
      <c r="D19" s="90">
        <f>IF(ISBLANK('Nutritional status distribution'!D$10),(1/1.16),((1/1.16)*'Nutritional status distribution'!D$10/(1-(1/1.16)*'Nutritional status distribution'!D$10))
/ ('Nutritional status distribution'!D$10/(1-'Nutritional status distribution'!D$10)))</f>
        <v>0.8565336864918357</v>
      </c>
      <c r="E19" s="90">
        <f>IF(ISBLANK('Nutritional status distribution'!E$10),(1/1.16),((1/1.16)*'Nutritional status distribution'!E$10/(1-(1/1.16)*'Nutritional status distribution'!E$10))
/ ('Nutritional status distribution'!E$10/(1-'Nutritional status distribution'!E$10)))</f>
        <v>0.86108276374159542</v>
      </c>
      <c r="F19" s="90">
        <f>IF(ISBLANK('Nutritional status distribution'!F$10),(1/1.16),((1/1.16)*'Nutritional status distribution'!F$10/(1-(1/1.16)*'Nutritional status distribution'!F$10))
/ ('Nutritional status distribution'!F$10/(1-'Nutritional status distribution'!F$10)))</f>
        <v>0.8618187806375267</v>
      </c>
      <c r="G19" s="90">
        <f>IF(ISBLANK('Nutritional status distribution'!G$10),(1/1.16),((1/1.16)*'Nutritional status distribution'!G$10/(1-(1/1.16)*'Nutritional status distribution'!G$10))
/ ('Nutritional status distribution'!G$10/(1-'Nutritional status distribution'!G$10)))</f>
        <v>0.8605227800892048</v>
      </c>
    </row>
  </sheetData>
  <sheetProtection algorithmName="SHA-512" hashValue="ZIjv20oIFeX8hEAP3JXu7+FjYQdIWvRgXIH4IkxRsMm14MAW5JMg2x9QOPJ7rc+IAMFEDvKO0XCydnz4Atw3VA==" saltValue="eIHIWivrA2mRyU/FI0KAAQ==" spinCount="100000" sheet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80" zoomScaleNormal="80" workbookViewId="0">
      <selection activeCell="E28" sqref="E28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ht="13.25" customHeight="1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ht="13.25" customHeight="1" x14ac:dyDescent="0.25">
      <c r="C3" s="5" t="s">
        <v>339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ht="13.25" customHeight="1" x14ac:dyDescent="0.25">
      <c r="C4" s="5" t="s">
        <v>340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ht="13.25" customHeight="1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ht="13.25" customHeight="1" x14ac:dyDescent="0.25">
      <c r="C6" s="5" t="s">
        <v>340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ht="13.25" customHeight="1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ht="13.25" customHeight="1" x14ac:dyDescent="0.25">
      <c r="C8" s="5" t="s">
        <v>340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ht="13.25" customHeight="1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ht="13.25" customHeight="1" x14ac:dyDescent="0.25">
      <c r="C10" s="5" t="s">
        <v>340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ht="13.25" customHeight="1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ht="13.25" customHeight="1" x14ac:dyDescent="0.25">
      <c r="C12" s="5" t="s">
        <v>340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ht="13.25" customHeight="1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ht="13.25" customHeight="1" x14ac:dyDescent="0.25">
      <c r="C14" s="5" t="s">
        <v>340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ht="13.25" customHeight="1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ht="13.25" customHeight="1" x14ac:dyDescent="0.25">
      <c r="C16" s="5" t="s">
        <v>340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ht="13.25" customHeight="1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ht="13.25" customHeight="1" x14ac:dyDescent="0.25">
      <c r="C18" s="5" t="s">
        <v>340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ht="13.25" customHeight="1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ht="13.25" customHeight="1" x14ac:dyDescent="0.25">
      <c r="C20" s="5" t="s">
        <v>340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ht="13.25" customHeight="1" x14ac:dyDescent="0.25">
      <c r="A21" s="5" t="s">
        <v>174</v>
      </c>
      <c r="B21" s="5" t="s">
        <v>74</v>
      </c>
      <c r="C21" s="5" t="s">
        <v>338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ht="13.25" customHeight="1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ht="13.25" customHeight="1" x14ac:dyDescent="0.25">
      <c r="A23" s="5" t="s">
        <v>172</v>
      </c>
      <c r="B23" s="5" t="s">
        <v>74</v>
      </c>
      <c r="C23" s="5" t="s">
        <v>338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ht="13.25" customHeight="1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ht="13.25" customHeight="1" x14ac:dyDescent="0.25">
      <c r="A25" s="5" t="s">
        <v>173</v>
      </c>
      <c r="B25" s="5" t="s">
        <v>74</v>
      </c>
      <c r="C25" s="5" t="s">
        <v>338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ht="13.25" customHeight="1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ht="13.25" customHeight="1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ht="13.25" customHeight="1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ht="13.25" customHeight="1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ht="13.25" customHeight="1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ht="13.25" customHeight="1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ht="13.25" customHeight="1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ht="13.25" customHeight="1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ht="13.25" customHeight="1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ht="13.25" customHeight="1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ht="13.25" customHeight="1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ht="13.25" customHeight="1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ht="13.25" customHeight="1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ht="13.25" customHeight="1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ht="13.25" customHeight="1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ht="13.25" customHeight="1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ht="13.25" customHeight="1" x14ac:dyDescent="0.25">
      <c r="A42" s="5" t="s">
        <v>200</v>
      </c>
      <c r="B42" s="5" t="s">
        <v>81</v>
      </c>
      <c r="C42" s="5" t="s">
        <v>338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ht="13.25" customHeight="1" x14ac:dyDescent="0.25">
      <c r="C43" s="5" t="s">
        <v>339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ht="13.25" customHeight="1" x14ac:dyDescent="0.25">
      <c r="C44" s="5" t="s">
        <v>340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ht="13.25" customHeight="1" x14ac:dyDescent="0.25">
      <c r="B45" s="5" t="s">
        <v>82</v>
      </c>
      <c r="C45" s="5" t="s">
        <v>338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ht="13.25" customHeight="1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ht="13.25" customHeight="1" x14ac:dyDescent="0.25">
      <c r="C47" s="5" t="s">
        <v>340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ht="13.25" customHeight="1" x14ac:dyDescent="0.25">
      <c r="A48" s="5" t="s">
        <v>190</v>
      </c>
      <c r="B48" s="5" t="s">
        <v>81</v>
      </c>
      <c r="C48" s="5" t="s">
        <v>338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ht="13.25" customHeight="1" x14ac:dyDescent="0.25">
      <c r="C49" s="5" t="s">
        <v>339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ht="13.25" customHeight="1" x14ac:dyDescent="0.25">
      <c r="A50" s="5" t="s">
        <v>199</v>
      </c>
      <c r="B50" s="5" t="s">
        <v>81</v>
      </c>
      <c r="C50" s="5" t="s">
        <v>338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ht="13.25" customHeight="1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ht="13.25" customHeight="1" x14ac:dyDescent="0.25">
      <c r="A52" s="5" t="s">
        <v>183</v>
      </c>
      <c r="B52" s="5" t="s">
        <v>72</v>
      </c>
      <c r="C52" s="5" t="s">
        <v>338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ht="13.25" customHeight="1" x14ac:dyDescent="0.25">
      <c r="C53" s="5" t="s">
        <v>339</v>
      </c>
      <c r="D53" s="90">
        <v>0.51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330</v>
      </c>
      <c r="B55" s="97"/>
      <c r="C55" s="97"/>
    </row>
    <row r="56" spans="1:8" ht="13" customHeight="1" x14ac:dyDescent="0.3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ht="13.25" customHeight="1" x14ac:dyDescent="0.25">
      <c r="A57" s="5" t="s">
        <v>193</v>
      </c>
      <c r="B57" s="5" t="s">
        <v>81</v>
      </c>
      <c r="C57" s="5" t="s">
        <v>338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ht="13.25" customHeight="1" x14ac:dyDescent="0.25">
      <c r="C58" s="5" t="s">
        <v>339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ht="13.25" customHeight="1" x14ac:dyDescent="0.25">
      <c r="C59" s="5" t="s">
        <v>340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ht="13.25" customHeight="1" x14ac:dyDescent="0.25">
      <c r="A60" s="5" t="s">
        <v>191</v>
      </c>
      <c r="B60" s="5" t="s">
        <v>205</v>
      </c>
      <c r="C60" s="5" t="s">
        <v>338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ht="13.25" customHeight="1" x14ac:dyDescent="0.25">
      <c r="C61" s="5" t="s">
        <v>340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ht="13.25" customHeight="1" x14ac:dyDescent="0.25">
      <c r="B62" s="5" t="s">
        <v>204</v>
      </c>
      <c r="C62" s="5" t="s">
        <v>338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ht="13.25" customHeight="1" x14ac:dyDescent="0.25">
      <c r="C63" s="5" t="s">
        <v>340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ht="13.25" customHeight="1" x14ac:dyDescent="0.25">
      <c r="A64" s="5" t="s">
        <v>184</v>
      </c>
      <c r="B64" s="5" t="s">
        <v>205</v>
      </c>
      <c r="C64" s="5" t="s">
        <v>338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ht="13.25" customHeight="1" x14ac:dyDescent="0.25">
      <c r="C65" s="5" t="s">
        <v>340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ht="13.25" customHeight="1" x14ac:dyDescent="0.25">
      <c r="B66" s="5" t="s">
        <v>204</v>
      </c>
      <c r="C66" s="5" t="s">
        <v>338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ht="13.25" customHeight="1" x14ac:dyDescent="0.25">
      <c r="C67" s="5" t="s">
        <v>340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ht="13.25" customHeight="1" x14ac:dyDescent="0.25">
      <c r="A68" s="5" t="s">
        <v>192</v>
      </c>
      <c r="B68" s="5" t="s">
        <v>205</v>
      </c>
      <c r="C68" s="5" t="s">
        <v>338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ht="13.25" customHeight="1" x14ac:dyDescent="0.25">
      <c r="C69" s="5" t="s">
        <v>340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ht="13.25" customHeight="1" x14ac:dyDescent="0.25">
      <c r="B70" s="5" t="s">
        <v>204</v>
      </c>
      <c r="C70" s="5" t="s">
        <v>338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ht="13.25" customHeight="1" x14ac:dyDescent="0.25">
      <c r="C71" s="5" t="s">
        <v>340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ht="13.25" customHeight="1" x14ac:dyDescent="0.25">
      <c r="A72" s="5" t="s">
        <v>169</v>
      </c>
      <c r="B72" s="5" t="s">
        <v>205</v>
      </c>
      <c r="C72" s="5" t="s">
        <v>338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ht="13.25" customHeight="1" x14ac:dyDescent="0.25">
      <c r="C73" s="5" t="s">
        <v>340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204</v>
      </c>
      <c r="C74" s="5" t="s">
        <v>338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340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339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339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339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340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339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340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339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340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339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340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339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340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339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340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82</v>
      </c>
      <c r="C100" s="5" t="s">
        <v>338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339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340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339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339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339</v>
      </c>
      <c r="D108" s="90">
        <v>0.18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333</v>
      </c>
      <c r="B110" s="97"/>
      <c r="C110" s="97"/>
    </row>
    <row r="111" spans="1:8" ht="13" customHeight="1" x14ac:dyDescent="0.3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339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340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340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204</v>
      </c>
      <c r="C117" s="5" t="s">
        <v>338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340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340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204</v>
      </c>
      <c r="C121" s="5" t="s">
        <v>338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340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340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204</v>
      </c>
      <c r="C125" s="5" t="s">
        <v>338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340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340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204</v>
      </c>
      <c r="C129" s="5" t="s">
        <v>338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340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339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339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339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339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340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339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340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339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340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339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340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339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340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339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340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82</v>
      </c>
      <c r="C155" s="5" t="s">
        <v>338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339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340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339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339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339</v>
      </c>
      <c r="D163" s="90">
        <v>0.71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gIF3gzcRwMevsVP9JM+eFJliWIfkjL6RYnVy29HH1zFwKTB/eJc1NVFGROY84dwrfqcI+B8KpOZ1waT1qDgCXQ==" saltValue="0Itsi1W8Rg+oXl6coWpo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E28" sqref="E28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ht="13.25" customHeight="1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ht="13.25" customHeight="1" x14ac:dyDescent="0.25">
      <c r="C3" s="8" t="s">
        <v>339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ht="13.25" customHeight="1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ht="13.25" customHeight="1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ht="13.25" customHeight="1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ht="13.25" customHeight="1" x14ac:dyDescent="0.25">
      <c r="C7" s="8" t="s">
        <v>339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330</v>
      </c>
    </row>
    <row r="10" spans="1:8" ht="13" customHeight="1" x14ac:dyDescent="0.3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ht="13.25" customHeight="1" x14ac:dyDescent="0.25">
      <c r="A11" s="3" t="s">
        <v>168</v>
      </c>
      <c r="B11" s="8" t="s">
        <v>94</v>
      </c>
      <c r="C11" s="3" t="s">
        <v>338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ht="13.25" customHeight="1" x14ac:dyDescent="0.25">
      <c r="C12" s="8" t="s">
        <v>339</v>
      </c>
      <c r="D12" s="90">
        <v>0</v>
      </c>
      <c r="E12" s="90">
        <v>0</v>
      </c>
      <c r="F12" s="90">
        <v>0</v>
      </c>
      <c r="G12" s="90">
        <v>0</v>
      </c>
    </row>
    <row r="13" spans="1:8" ht="13.25" customHeight="1" x14ac:dyDescent="0.25">
      <c r="A13" s="3" t="s">
        <v>187</v>
      </c>
      <c r="B13" s="8" t="s">
        <v>94</v>
      </c>
      <c r="C13" s="3" t="s">
        <v>338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ht="13.25" customHeight="1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ht="13.25" customHeight="1" x14ac:dyDescent="0.25">
      <c r="A15" s="3" t="s">
        <v>186</v>
      </c>
      <c r="B15" s="8" t="s">
        <v>94</v>
      </c>
      <c r="C15" s="3" t="s">
        <v>338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ht="13.25" customHeight="1" x14ac:dyDescent="0.25">
      <c r="C16" s="8" t="s">
        <v>339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333</v>
      </c>
    </row>
    <row r="19" spans="1:7" ht="13" customHeight="1" x14ac:dyDescent="0.3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ht="13.25" customHeight="1" x14ac:dyDescent="0.25">
      <c r="A20" s="3" t="s">
        <v>168</v>
      </c>
      <c r="B20" s="8" t="s">
        <v>94</v>
      </c>
      <c r="C20" s="3" t="s">
        <v>338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ht="13.25" customHeight="1" x14ac:dyDescent="0.25">
      <c r="C21" s="8" t="s">
        <v>339</v>
      </c>
      <c r="D21" s="90">
        <v>0.98</v>
      </c>
      <c r="E21" s="90">
        <v>0.98</v>
      </c>
      <c r="F21" s="90">
        <v>0.98</v>
      </c>
      <c r="G21" s="90">
        <v>0.98</v>
      </c>
    </row>
    <row r="22" spans="1:7" ht="13.25" customHeight="1" x14ac:dyDescent="0.25">
      <c r="A22" s="3" t="s">
        <v>187</v>
      </c>
      <c r="B22" s="8" t="s">
        <v>94</v>
      </c>
      <c r="C22" s="3" t="s">
        <v>338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ht="13.25" customHeight="1" x14ac:dyDescent="0.25">
      <c r="C23" s="8" t="s">
        <v>339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ht="13.25" customHeight="1" x14ac:dyDescent="0.25">
      <c r="A24" s="3" t="s">
        <v>186</v>
      </c>
      <c r="B24" s="8" t="s">
        <v>94</v>
      </c>
      <c r="C24" s="3" t="s">
        <v>338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ht="13.25" customHeight="1" x14ac:dyDescent="0.25">
      <c r="C25" s="8" t="s">
        <v>339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SSCu+FR+SN+siPEoAiap+3g3Z0SGqFtJklZqGSbEJvGKfBY2J7BHBpfevFvAYPx8Hf15tBeGKZdJ4ehQEpyLRg==" saltValue="A0PmMaoo+OfazXy7x4UxVw==" spinCount="100000" sheet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3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0</v>
      </c>
    </row>
    <row r="4" spans="1:8" ht="15.75" customHeight="1" x14ac:dyDescent="0.25">
      <c r="B4" s="19" t="s">
        <v>69</v>
      </c>
      <c r="C4" s="101">
        <v>9.8596042264915779E-2</v>
      </c>
    </row>
    <row r="5" spans="1:8" ht="15.75" customHeight="1" x14ac:dyDescent="0.25">
      <c r="B5" s="19" t="s">
        <v>70</v>
      </c>
      <c r="C5" s="101">
        <v>3.1972797420602918E-2</v>
      </c>
    </row>
    <row r="6" spans="1:8" ht="15.75" customHeight="1" x14ac:dyDescent="0.25">
      <c r="B6" s="19" t="s">
        <v>71</v>
      </c>
      <c r="C6" s="101">
        <v>0.1456370449712639</v>
      </c>
    </row>
    <row r="7" spans="1:8" ht="15.75" customHeight="1" x14ac:dyDescent="0.25">
      <c r="B7" s="19" t="s">
        <v>72</v>
      </c>
      <c r="C7" s="101">
        <v>0.34646208729211098</v>
      </c>
    </row>
    <row r="8" spans="1:8" ht="15.75" customHeight="1" x14ac:dyDescent="0.25">
      <c r="B8" s="19" t="s">
        <v>73</v>
      </c>
      <c r="C8" s="101">
        <v>0</v>
      </c>
    </row>
    <row r="9" spans="1:8" ht="15.75" customHeight="1" x14ac:dyDescent="0.25">
      <c r="B9" s="19" t="s">
        <v>74</v>
      </c>
      <c r="C9" s="101">
        <v>0.2083301883812648</v>
      </c>
    </row>
    <row r="10" spans="1:8" ht="15.75" customHeight="1" x14ac:dyDescent="0.25">
      <c r="B10" s="19" t="s">
        <v>75</v>
      </c>
      <c r="C10" s="101">
        <v>0.1690018396698417</v>
      </c>
    </row>
    <row r="11" spans="1:8" ht="15.75" customHeight="1" x14ac:dyDescent="0.25">
      <c r="B11" s="27" t="s">
        <v>30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8.8932431893366845E-2</v>
      </c>
      <c r="D14" s="55">
        <v>8.8932431893366845E-2</v>
      </c>
      <c r="E14" s="55">
        <v>8.8932431893366845E-2</v>
      </c>
      <c r="F14" s="55">
        <v>8.8932431893366845E-2</v>
      </c>
    </row>
    <row r="15" spans="1:8" ht="15.75" customHeight="1" x14ac:dyDescent="0.25">
      <c r="B15" s="19" t="s">
        <v>82</v>
      </c>
      <c r="C15" s="101">
        <v>6.9600750193209868E-2</v>
      </c>
      <c r="D15" s="101">
        <v>6.9600750193209868E-2</v>
      </c>
      <c r="E15" s="101">
        <v>6.9600750193209868E-2</v>
      </c>
      <c r="F15" s="101">
        <v>6.9600750193209868E-2</v>
      </c>
    </row>
    <row r="16" spans="1:8" ht="15.75" customHeight="1" x14ac:dyDescent="0.25">
      <c r="B16" s="19" t="s">
        <v>83</v>
      </c>
      <c r="C16" s="101">
        <v>6.3114565089839036E-3</v>
      </c>
      <c r="D16" s="101">
        <v>6.3114565089839036E-3</v>
      </c>
      <c r="E16" s="101">
        <v>6.3114565089839036E-3</v>
      </c>
      <c r="F16" s="101">
        <v>6.3114565089839036E-3</v>
      </c>
    </row>
    <row r="17" spans="1:8" ht="15.75" customHeight="1" x14ac:dyDescent="0.25">
      <c r="B17" s="19" t="s">
        <v>84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85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86</v>
      </c>
      <c r="C19" s="101">
        <v>0</v>
      </c>
      <c r="D19" s="101">
        <v>0</v>
      </c>
      <c r="E19" s="101">
        <v>0</v>
      </c>
      <c r="F19" s="101">
        <v>0</v>
      </c>
    </row>
    <row r="20" spans="1:8" ht="15.75" customHeight="1" x14ac:dyDescent="0.25">
      <c r="B20" s="19" t="s">
        <v>87</v>
      </c>
      <c r="C20" s="101">
        <v>0.1579843042215579</v>
      </c>
      <c r="D20" s="101">
        <v>0.1579843042215579</v>
      </c>
      <c r="E20" s="101">
        <v>0.1579843042215579</v>
      </c>
      <c r="F20" s="101">
        <v>0.1579843042215579</v>
      </c>
    </row>
    <row r="21" spans="1:8" ht="15.75" customHeight="1" x14ac:dyDescent="0.25">
      <c r="B21" s="19" t="s">
        <v>88</v>
      </c>
      <c r="C21" s="101">
        <v>0.15914721671627879</v>
      </c>
      <c r="D21" s="101">
        <v>0.15914721671627879</v>
      </c>
      <c r="E21" s="101">
        <v>0.15914721671627879</v>
      </c>
      <c r="F21" s="101">
        <v>0.15914721671627879</v>
      </c>
    </row>
    <row r="22" spans="1:8" ht="15.75" customHeight="1" x14ac:dyDescent="0.25">
      <c r="B22" s="19" t="s">
        <v>89</v>
      </c>
      <c r="C22" s="101">
        <v>0.51802384046660255</v>
      </c>
      <c r="D22" s="101">
        <v>0.51802384046660255</v>
      </c>
      <c r="E22" s="101">
        <v>0.51802384046660255</v>
      </c>
      <c r="F22" s="101">
        <v>0.51802384046660255</v>
      </c>
    </row>
    <row r="23" spans="1:8" ht="15.75" customHeight="1" x14ac:dyDescent="0.25">
      <c r="B23" s="27" t="s">
        <v>30</v>
      </c>
      <c r="C23" s="48">
        <f>SUM(C14:C22)</f>
        <v>0.99999999999999978</v>
      </c>
      <c r="D23" s="48">
        <f>SUM(D14:D22)</f>
        <v>0.99999999999999978</v>
      </c>
      <c r="E23" s="48">
        <f>SUM(E14:E22)</f>
        <v>0.99999999999999978</v>
      </c>
      <c r="F23" s="48">
        <f>SUM(F14:F22)</f>
        <v>0.99999999999999978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6.0859322999999993E-2</v>
      </c>
    </row>
    <row r="27" spans="1:8" ht="15.75" customHeight="1" x14ac:dyDescent="0.25">
      <c r="B27" s="19" t="s">
        <v>92</v>
      </c>
      <c r="C27" s="101">
        <v>1.8473204999999999E-2</v>
      </c>
    </row>
    <row r="28" spans="1:8" ht="15.75" customHeight="1" x14ac:dyDescent="0.25">
      <c r="B28" s="19" t="s">
        <v>93</v>
      </c>
      <c r="C28" s="101">
        <v>0.14414038900000001</v>
      </c>
    </row>
    <row r="29" spans="1:8" ht="15.75" customHeight="1" x14ac:dyDescent="0.25">
      <c r="B29" s="19" t="s">
        <v>94</v>
      </c>
      <c r="C29" s="101">
        <v>0.27289618700000001</v>
      </c>
    </row>
    <row r="30" spans="1:8" ht="15.75" customHeight="1" x14ac:dyDescent="0.25">
      <c r="B30" s="19" t="s">
        <v>95</v>
      </c>
      <c r="C30" s="101">
        <v>8.5625018999999997E-2</v>
      </c>
    </row>
    <row r="31" spans="1:8" ht="15.75" customHeight="1" x14ac:dyDescent="0.25">
      <c r="B31" s="19" t="s">
        <v>96</v>
      </c>
      <c r="C31" s="101">
        <v>0.10194423</v>
      </c>
    </row>
    <row r="32" spans="1:8" ht="15.75" customHeight="1" x14ac:dyDescent="0.25">
      <c r="B32" s="19" t="s">
        <v>97</v>
      </c>
      <c r="C32" s="101">
        <v>2.9002987000000001E-2</v>
      </c>
    </row>
    <row r="33" spans="2:3" ht="15.75" customHeight="1" x14ac:dyDescent="0.25">
      <c r="B33" s="19" t="s">
        <v>98</v>
      </c>
      <c r="C33" s="101">
        <v>0.12602046</v>
      </c>
    </row>
    <row r="34" spans="2:3" ht="15.75" customHeight="1" x14ac:dyDescent="0.25">
      <c r="B34" s="19" t="s">
        <v>99</v>
      </c>
      <c r="C34" s="101">
        <v>0.16103819999999999</v>
      </c>
    </row>
    <row r="35" spans="2:3" ht="15.75" customHeight="1" x14ac:dyDescent="0.25">
      <c r="B35" s="27" t="s">
        <v>30</v>
      </c>
      <c r="C35" s="48">
        <f>SUM(C26:C34)</f>
        <v>1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0.63022661948363956</v>
      </c>
      <c r="D2" s="52">
        <f>IFERROR(1-_xlfn.NORM.DIST(_xlfn.NORM.INV(SUM(D4:D5), 0, 1) + 1, 0, 1, TRUE), "")</f>
        <v>0.63022661948363956</v>
      </c>
      <c r="E2" s="52">
        <f>IFERROR(1-_xlfn.NORM.DIST(_xlfn.NORM.INV(SUM(E4:E5), 0, 1) + 1, 0, 1, TRUE), "")</f>
        <v>0.71255729355238184</v>
      </c>
      <c r="F2" s="52">
        <f>IFERROR(1-_xlfn.NORM.DIST(_xlfn.NORM.INV(SUM(F4:F5), 0, 1) + 1, 0, 1, TRUE), "")</f>
        <v>0.51175717721847791</v>
      </c>
      <c r="G2" s="52">
        <f>IFERROR(1-_xlfn.NORM.DIST(_xlfn.NORM.INV(SUM(G4:G5), 0, 1) + 1, 0, 1, TRUE), "")</f>
        <v>0.48100932041318578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0.27841779316056792</v>
      </c>
      <c r="D3" s="52">
        <f>IFERROR(_xlfn.NORM.DIST(_xlfn.NORM.INV(SUM(D4:D5), 0, 1) + 1, 0, 1, TRUE) - SUM(D4:D5), "")</f>
        <v>0.27841779316056792</v>
      </c>
      <c r="E3" s="52">
        <f>IFERROR(_xlfn.NORM.DIST(_xlfn.NORM.INV(SUM(E4:E5), 0, 1) + 1, 0, 1, TRUE) - SUM(E4:E5), "")</f>
        <v>0.22816562272288096</v>
      </c>
      <c r="F3" s="52">
        <f>IFERROR(_xlfn.NORM.DIST(_xlfn.NORM.INV(SUM(F4:F5), 0, 1) + 1, 0, 1, TRUE) - SUM(F4:F5), "")</f>
        <v>0.33661459487708356</v>
      </c>
      <c r="G3" s="52">
        <f>IFERROR(_xlfn.NORM.DIST(_xlfn.NORM.INV(SUM(G4:G5), 0, 1) + 1, 0, 1, TRUE) - SUM(G4:G5), "")</f>
        <v>0.34853838657824809</v>
      </c>
    </row>
    <row r="4" spans="1:15" ht="15.75" customHeight="1" x14ac:dyDescent="0.25">
      <c r="B4" s="5" t="s">
        <v>104</v>
      </c>
      <c r="C4" s="45">
        <v>8.403609693050379E-2</v>
      </c>
      <c r="D4" s="53">
        <v>8.403609693050379E-2</v>
      </c>
      <c r="E4" s="53">
        <v>4.9786336719989797E-2</v>
      </c>
      <c r="F4" s="53">
        <v>0.129026889801025</v>
      </c>
      <c r="G4" s="53">
        <v>0.13913692533969901</v>
      </c>
    </row>
    <row r="5" spans="1:15" ht="15.75" customHeight="1" x14ac:dyDescent="0.25">
      <c r="B5" s="5" t="s">
        <v>105</v>
      </c>
      <c r="C5" s="45">
        <v>7.3194904252887006E-3</v>
      </c>
      <c r="D5" s="53">
        <v>7.3194904252887006E-3</v>
      </c>
      <c r="E5" s="53">
        <v>9.4907470047473994E-3</v>
      </c>
      <c r="F5" s="53">
        <v>2.2601338103413599E-2</v>
      </c>
      <c r="G5" s="53">
        <v>3.1315367668867097E-2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0.69771355983060679</v>
      </c>
      <c r="D8" s="52">
        <f>IFERROR(1-_xlfn.NORM.DIST(_xlfn.NORM.INV(SUM(D10:D11), 0, 1) + 1, 0, 1, TRUE), "")</f>
        <v>0.69771355983060679</v>
      </c>
      <c r="E8" s="52">
        <f>IFERROR(1-_xlfn.NORM.DIST(_xlfn.NORM.INV(SUM(E10:E11), 0, 1) + 1, 0, 1, TRUE), "")</f>
        <v>0.88939082373130773</v>
      </c>
      <c r="F8" s="52">
        <f>IFERROR(1-_xlfn.NORM.DIST(_xlfn.NORM.INV(SUM(F10:F11), 0, 1) + 1, 0, 1, TRUE), "")</f>
        <v>0.90044307861995287</v>
      </c>
      <c r="G8" s="52">
        <f>IFERROR(1-_xlfn.NORM.DIST(_xlfn.NORM.INV(SUM(G10:G11), 0, 1) + 1, 0, 1, TRUE), "")</f>
        <v>0.87773769696167114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0.23775853369194191</v>
      </c>
      <c r="D9" s="52">
        <f>IFERROR(_xlfn.NORM.DIST(_xlfn.NORM.INV(SUM(D10:D11), 0, 1) + 1, 0, 1, TRUE) - SUM(D10:D11), "")</f>
        <v>0.23775853369194191</v>
      </c>
      <c r="E9" s="52">
        <f>IFERROR(_xlfn.NORM.DIST(_xlfn.NORM.INV(SUM(E10:E11), 0, 1) + 1, 0, 1, TRUE) - SUM(E10:E11), "")</f>
        <v>9.7511213904137875E-2</v>
      </c>
      <c r="F9" s="52">
        <f>IFERROR(_xlfn.NORM.DIST(_xlfn.NORM.INV(SUM(F10:F11), 0, 1) + 1, 0, 1, TRUE) - SUM(F10:F11), "")</f>
        <v>8.8373516783524647E-2</v>
      </c>
      <c r="G9" s="52">
        <f>IFERROR(_xlfn.NORM.DIST(_xlfn.NORM.INV(SUM(G10:G11), 0, 1) + 1, 0, 1, TRUE) - SUM(G10:G11), "")</f>
        <v>0.10702060188242796</v>
      </c>
    </row>
    <row r="10" spans="1:15" ht="15.75" customHeight="1" x14ac:dyDescent="0.25">
      <c r="B10" s="5" t="s">
        <v>109</v>
      </c>
      <c r="C10" s="45">
        <v>4.4755619019269902E-2</v>
      </c>
      <c r="D10" s="53">
        <v>4.4755619019269902E-2</v>
      </c>
      <c r="E10" s="53">
        <v>8.2350764423609005E-3</v>
      </c>
      <c r="F10" s="53">
        <v>2.1002453286201E-3</v>
      </c>
      <c r="G10" s="53">
        <v>1.28592690452933E-2</v>
      </c>
    </row>
    <row r="11" spans="1:15" ht="15.75" customHeight="1" x14ac:dyDescent="0.25">
      <c r="B11" s="5" t="s">
        <v>110</v>
      </c>
      <c r="C11" s="45">
        <v>1.9772287458181399E-2</v>
      </c>
      <c r="D11" s="53">
        <v>1.9772287458181399E-2</v>
      </c>
      <c r="E11" s="53">
        <v>4.8628859221935003E-3</v>
      </c>
      <c r="F11" s="53">
        <v>9.0831592679024003E-3</v>
      </c>
      <c r="G11" s="53">
        <v>2.3824321106076002E-3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0.434390426</v>
      </c>
      <c r="D14" s="54">
        <v>0.409926477324</v>
      </c>
      <c r="E14" s="54">
        <v>0.409926477324</v>
      </c>
      <c r="F14" s="54">
        <v>0.344801102149</v>
      </c>
      <c r="G14" s="54">
        <v>0.344801102149</v>
      </c>
      <c r="H14" s="45">
        <v>0.21299999999999999</v>
      </c>
      <c r="I14" s="55">
        <v>0.21299999999999999</v>
      </c>
      <c r="J14" s="55">
        <v>0.21299999999999999</v>
      </c>
      <c r="K14" s="55">
        <v>0.21299999999999999</v>
      </c>
      <c r="L14" s="45">
        <v>0.217</v>
      </c>
      <c r="M14" s="55">
        <v>0.217</v>
      </c>
      <c r="N14" s="55">
        <v>0.217</v>
      </c>
      <c r="O14" s="55">
        <v>0.217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0.24743313055385999</v>
      </c>
      <c r="D15" s="52">
        <f t="shared" si="0"/>
        <v>0.23349822074852361</v>
      </c>
      <c r="E15" s="52">
        <f t="shared" si="0"/>
        <v>0.23349822074852361</v>
      </c>
      <c r="F15" s="52">
        <f t="shared" si="0"/>
        <v>0.19640215579509188</v>
      </c>
      <c r="G15" s="52">
        <f t="shared" si="0"/>
        <v>0.19640215579509188</v>
      </c>
      <c r="H15" s="52">
        <f t="shared" si="0"/>
        <v>0.12132692999999999</v>
      </c>
      <c r="I15" s="52">
        <f t="shared" si="0"/>
        <v>0.12132692999999999</v>
      </c>
      <c r="J15" s="52">
        <f t="shared" si="0"/>
        <v>0.12132692999999999</v>
      </c>
      <c r="K15" s="52">
        <f t="shared" si="0"/>
        <v>0.12132692999999999</v>
      </c>
      <c r="L15" s="52">
        <f t="shared" si="0"/>
        <v>0.12360536999999999</v>
      </c>
      <c r="M15" s="52">
        <f t="shared" si="0"/>
        <v>0.12360536999999999</v>
      </c>
      <c r="N15" s="52">
        <f t="shared" si="0"/>
        <v>0.12360536999999999</v>
      </c>
      <c r="O15" s="52">
        <f t="shared" si="0"/>
        <v>0.12360536999999999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0.49676173925399802</v>
      </c>
      <c r="D2" s="53">
        <v>0.2988326</v>
      </c>
      <c r="E2" s="53"/>
      <c r="F2" s="53"/>
      <c r="G2" s="53"/>
    </row>
    <row r="3" spans="1:7" x14ac:dyDescent="0.25">
      <c r="B3" s="3" t="s">
        <v>120</v>
      </c>
      <c r="C3" s="53">
        <v>0.15486164391040799</v>
      </c>
      <c r="D3" s="53">
        <v>0.17969640000000001</v>
      </c>
      <c r="E3" s="53"/>
      <c r="F3" s="53"/>
      <c r="G3" s="53"/>
    </row>
    <row r="4" spans="1:7" x14ac:dyDescent="0.25">
      <c r="B4" s="3" t="s">
        <v>121</v>
      </c>
      <c r="C4" s="53">
        <v>0.30888521671295199</v>
      </c>
      <c r="D4" s="53">
        <v>0.43784060000000002</v>
      </c>
      <c r="E4" s="53">
        <v>0.7645732760429379</v>
      </c>
      <c r="F4" s="53">
        <v>0.47131150960922202</v>
      </c>
      <c r="G4" s="53"/>
    </row>
    <row r="5" spans="1:7" x14ac:dyDescent="0.25">
      <c r="B5" s="3" t="s">
        <v>122</v>
      </c>
      <c r="C5" s="52">
        <v>3.9491388946771601E-2</v>
      </c>
      <c r="D5" s="52">
        <v>8.363040536642069E-2</v>
      </c>
      <c r="E5" s="52">
        <f>1-SUM(E2:E4)</f>
        <v>0.2354267239570621</v>
      </c>
      <c r="F5" s="52">
        <f>1-SUM(F2:F4)</f>
        <v>0.52868849039077803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ht="13.25" customHeight="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ht="13.25" customHeight="1" x14ac:dyDescent="0.25">
      <c r="B3" s="9"/>
    </row>
    <row r="4" spans="1:11" ht="13.25" customHeight="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ht="13.25" customHeight="1" x14ac:dyDescent="0.25">
      <c r="B5" s="9"/>
    </row>
    <row r="6" spans="1:11" ht="13.25" customHeight="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ht="13.25" customHeight="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ht="13.25" customHeight="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ht="13.25" customHeight="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ht="13.25" customHeight="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ht="13.25" customHeight="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ht="13.25" customHeight="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135</v>
      </c>
      <c r="B1" s="4" t="s">
        <v>136</v>
      </c>
    </row>
    <row r="2" spans="1:2" ht="13.25" customHeight="1" x14ac:dyDescent="0.25">
      <c r="A2" s="8" t="s">
        <v>137</v>
      </c>
      <c r="B2" s="41">
        <v>10</v>
      </c>
    </row>
    <row r="3" spans="1:2" ht="13.25" customHeight="1" x14ac:dyDescent="0.25">
      <c r="A3" s="8" t="s">
        <v>138</v>
      </c>
      <c r="B3" s="41">
        <v>10</v>
      </c>
    </row>
    <row r="4" spans="1:2" ht="13.25" customHeight="1" x14ac:dyDescent="0.25">
      <c r="A4" s="8" t="s">
        <v>139</v>
      </c>
      <c r="B4" s="41">
        <v>10</v>
      </c>
    </row>
    <row r="5" spans="1:2" ht="13.25" customHeight="1" x14ac:dyDescent="0.25">
      <c r="A5" s="8" t="s">
        <v>140</v>
      </c>
      <c r="B5" s="41">
        <v>10</v>
      </c>
    </row>
    <row r="6" spans="1:2" ht="13.25" customHeight="1" x14ac:dyDescent="0.25">
      <c r="A6" s="8" t="s">
        <v>141</v>
      </c>
      <c r="B6" s="41">
        <v>10</v>
      </c>
    </row>
    <row r="7" spans="1:2" ht="13.25" customHeight="1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ht="13" customHeight="1" x14ac:dyDescent="0.3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ht="13.25" customHeight="1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ht="13.25" customHeight="1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ht="13.25" customHeight="1" x14ac:dyDescent="0.25">
      <c r="B5" s="32" t="s">
        <v>78</v>
      </c>
      <c r="C5" s="47"/>
      <c r="D5" s="47"/>
      <c r="E5" s="38" t="str">
        <f>IF(E$7="","",E$7)</f>
        <v/>
      </c>
    </row>
    <row r="6" spans="1:5" ht="13.25" customHeight="1" x14ac:dyDescent="0.25">
      <c r="B6" s="32" t="s">
        <v>79</v>
      </c>
      <c r="C6" s="47"/>
      <c r="D6" s="47"/>
      <c r="E6" s="38" t="str">
        <f>IF(E$7="","",E$7)</f>
        <v/>
      </c>
    </row>
    <row r="7" spans="1:5" ht="13.25" customHeight="1" x14ac:dyDescent="0.25">
      <c r="B7" s="32" t="s">
        <v>150</v>
      </c>
      <c r="C7" s="31"/>
      <c r="D7" s="30"/>
      <c r="E7" s="47"/>
    </row>
    <row r="9" spans="1:5" ht="13" customHeight="1" x14ac:dyDescent="0.3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ht="13.25" customHeight="1" x14ac:dyDescent="0.25">
      <c r="B10" s="32" t="s">
        <v>67</v>
      </c>
      <c r="C10" s="47"/>
      <c r="D10" s="47"/>
      <c r="E10" s="38" t="str">
        <f>IF(E$7="","",E$7)</f>
        <v/>
      </c>
    </row>
    <row r="11" spans="1:5" ht="13.25" customHeight="1" x14ac:dyDescent="0.25">
      <c r="B11" s="32" t="s">
        <v>77</v>
      </c>
      <c r="C11" s="47"/>
      <c r="D11" s="47"/>
      <c r="E11" s="38" t="str">
        <f>IF(E$7="","",E$7)</f>
        <v/>
      </c>
    </row>
    <row r="12" spans="1:5" ht="13.25" customHeight="1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ht="13.25" customHeight="1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ht="13.25" customHeight="1" x14ac:dyDescent="0.25">
      <c r="B14" s="32" t="s">
        <v>150</v>
      </c>
      <c r="C14" s="31"/>
      <c r="D14" s="30"/>
      <c r="E14" s="47"/>
    </row>
    <row r="16" spans="1:5" ht="13" customHeight="1" x14ac:dyDescent="0.3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ht="13.25" customHeight="1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ht="13.25" customHeight="1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ht="13.25" customHeight="1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ht="13.25" customHeight="1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ht="13.25" customHeight="1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1</v>
      </c>
      <c r="B1" s="36" t="s">
        <v>153</v>
      </c>
      <c r="C1" s="40" t="s">
        <v>154</v>
      </c>
      <c r="D1" s="40" t="s">
        <v>155</v>
      </c>
    </row>
    <row r="2" spans="1:4" ht="13" customHeight="1" x14ac:dyDescent="0.3">
      <c r="A2" s="40" t="s">
        <v>156</v>
      </c>
      <c r="B2" s="32" t="s">
        <v>157</v>
      </c>
      <c r="C2" s="32" t="s">
        <v>158</v>
      </c>
      <c r="D2" s="47"/>
    </row>
    <row r="3" spans="1:4" ht="13" customHeight="1" x14ac:dyDescent="0.3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2024-03-18T00:20:20Z</dcterms:modified>
</cp:coreProperties>
</file>