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91E153F8-DBC4-4FDC-8B1C-95F89DAC5881}" xr6:coauthVersionLast="47" xr6:coauthVersionMax="47" xr10:uidLastSave="{00000000-0000-0000-0000-000000000000}"/>
  <bookViews>
    <workbookView xWindow="0" yWindow="3670" windowWidth="19200" windowHeight="6530" tabRatio="961" firstSheet="10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H152" i="27"/>
  <c r="G152" i="27"/>
  <c r="F152" i="27"/>
  <c r="H136" i="27"/>
  <c r="G136" i="27"/>
  <c r="F136" i="27"/>
  <c r="E136" i="27"/>
  <c r="H135" i="27"/>
  <c r="G135" i="27"/>
  <c r="F135" i="27"/>
  <c r="E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D131" i="27"/>
  <c r="E130" i="27"/>
  <c r="D130" i="27"/>
  <c r="H129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F112" i="27"/>
  <c r="E112" i="27"/>
  <c r="D112" i="27"/>
  <c r="H97" i="27"/>
  <c r="G97" i="27"/>
  <c r="F97" i="27"/>
  <c r="E97" i="27"/>
  <c r="E152" i="27" s="1"/>
  <c r="D97" i="27"/>
  <c r="D152" i="27" s="1"/>
  <c r="H81" i="27"/>
  <c r="G81" i="27"/>
  <c r="F81" i="27"/>
  <c r="E81" i="27"/>
  <c r="H80" i="27"/>
  <c r="G80" i="27"/>
  <c r="F80" i="27"/>
  <c r="E80" i="27"/>
  <c r="D80" i="27"/>
  <c r="D135" i="27" s="1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E75" i="27"/>
  <c r="D75" i="27"/>
  <c r="H74" i="27"/>
  <c r="G74" i="27"/>
  <c r="G129" i="27" s="1"/>
  <c r="F74" i="27"/>
  <c r="F129" i="27" s="1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H112" i="27" s="1"/>
  <c r="G57" i="27"/>
  <c r="G112" i="27" s="1"/>
  <c r="F57" i="27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A40" i="2"/>
  <c r="I39" i="2"/>
  <c r="H39" i="2"/>
  <c r="G39" i="2"/>
  <c r="A39" i="2"/>
  <c r="H38" i="2"/>
  <c r="G38" i="2"/>
  <c r="I38" i="2" s="1"/>
  <c r="A38" i="2"/>
  <c r="A37" i="2"/>
  <c r="A35" i="2"/>
  <c r="A34" i="2"/>
  <c r="A33" i="2"/>
  <c r="A31" i="2"/>
  <c r="A30" i="2"/>
  <c r="A29" i="2"/>
  <c r="A27" i="2"/>
  <c r="A26" i="2"/>
  <c r="A25" i="2"/>
  <c r="A23" i="2"/>
  <c r="A22" i="2"/>
  <c r="A21" i="2"/>
  <c r="A19" i="2"/>
  <c r="A18" i="2"/>
  <c r="A17" i="2"/>
  <c r="A15" i="2"/>
  <c r="A14" i="2"/>
  <c r="A13" i="2"/>
  <c r="H11" i="2"/>
  <c r="I11" i="2" s="1"/>
  <c r="G11" i="2"/>
  <c r="H10" i="2"/>
  <c r="G10" i="2"/>
  <c r="I10" i="2" s="1"/>
  <c r="H9" i="2"/>
  <c r="I9" i="2" s="1"/>
  <c r="G9" i="2"/>
  <c r="H8" i="2"/>
  <c r="G8" i="2"/>
  <c r="I8" i="2" s="1"/>
  <c r="H7" i="2"/>
  <c r="I7" i="2" s="1"/>
  <c r="G7" i="2"/>
  <c r="H6" i="2"/>
  <c r="G6" i="2"/>
  <c r="I6" i="2" s="1"/>
  <c r="H5" i="2"/>
  <c r="G5" i="2"/>
  <c r="I5" i="2" s="1"/>
  <c r="H4" i="2"/>
  <c r="G4" i="2"/>
  <c r="I4" i="2" s="1"/>
  <c r="H3" i="2"/>
  <c r="G3" i="2"/>
  <c r="I3" i="2" s="1"/>
  <c r="H2" i="2"/>
  <c r="G2" i="2"/>
  <c r="I2" i="2" s="1"/>
  <c r="A2" i="2"/>
  <c r="A32" i="2" s="1"/>
  <c r="C33" i="1"/>
  <c r="C20" i="1"/>
  <c r="A12" i="2" l="1"/>
  <c r="A20" i="2"/>
  <c r="A28" i="2"/>
  <c r="A36" i="2"/>
  <c r="A3" i="2"/>
  <c r="A4" i="2" s="1"/>
  <c r="A5" i="2" s="1"/>
  <c r="A6" i="2" s="1"/>
  <c r="A7" i="2" s="1"/>
  <c r="A8" i="2" s="1"/>
  <c r="A9" i="2" s="1"/>
  <c r="A10" i="2" s="1"/>
  <c r="A11" i="2" s="1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<sst xmlns="http://schemas.openxmlformats.org/spreadsheetml/2006/main" count="2092" uniqueCount="341">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</sst>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25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2021</v>
      </c>
    </row>
    <row r="4" spans="1:3" ht="15.9" customHeight="1" x14ac:dyDescent="0.3">
      <c r="A4" s="1"/>
      <c r="B4" s="5" t="s">
        <v>5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49730.33447265625</v>
      </c>
    </row>
    <row r="8" spans="1:3" ht="15" customHeight="1" x14ac:dyDescent="0.25">
      <c r="B8" s="5" t="s">
        <v>8</v>
      </c>
      <c r="C8" s="44">
        <v>1.4999999999999999E-2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0.70886222839355495</v>
      </c>
    </row>
    <row r="11" spans="1:3" ht="15" customHeight="1" x14ac:dyDescent="0.25">
      <c r="B11" s="5" t="s">
        <v>11</v>
      </c>
      <c r="C11" s="45">
        <v>0.84900000000000009</v>
      </c>
    </row>
    <row r="12" spans="1:3" ht="15" customHeight="1" x14ac:dyDescent="0.25">
      <c r="B12" s="5" t="s">
        <v>12</v>
      </c>
      <c r="C12" s="45">
        <v>0.74199999999999999</v>
      </c>
    </row>
    <row r="13" spans="1:3" ht="15" customHeight="1" x14ac:dyDescent="0.25">
      <c r="B13" s="5" t="s">
        <v>13</v>
      </c>
      <c r="C13" s="45">
        <v>0.154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7.22E-2</v>
      </c>
    </row>
    <row r="24" spans="1:3" ht="15" customHeight="1" x14ac:dyDescent="0.25">
      <c r="B24" s="15" t="s">
        <v>22</v>
      </c>
      <c r="C24" s="45">
        <v>0.55390000000000006</v>
      </c>
    </row>
    <row r="25" spans="1:3" ht="15" customHeight="1" x14ac:dyDescent="0.25">
      <c r="B25" s="15" t="s">
        <v>23</v>
      </c>
      <c r="C25" s="45">
        <v>0.31580000000000003</v>
      </c>
    </row>
    <row r="26" spans="1:3" ht="15" customHeight="1" x14ac:dyDescent="0.25">
      <c r="B26" s="15" t="s">
        <v>24</v>
      </c>
      <c r="C26" s="45">
        <v>5.8100000000000013E-2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0.35675533525383901</v>
      </c>
    </row>
    <row r="30" spans="1:3" ht="14.25" customHeight="1" x14ac:dyDescent="0.25">
      <c r="B30" s="25" t="s">
        <v>27</v>
      </c>
      <c r="C30" s="99">
        <v>6.5910586704521698E-2</v>
      </c>
    </row>
    <row r="31" spans="1:3" ht="14.25" customHeight="1" x14ac:dyDescent="0.25">
      <c r="B31" s="25" t="s">
        <v>28</v>
      </c>
      <c r="C31" s="99">
        <v>9.262041217609189E-2</v>
      </c>
    </row>
    <row r="32" spans="1:3" ht="14.25" customHeight="1" x14ac:dyDescent="0.25">
      <c r="B32" s="25" t="s">
        <v>29</v>
      </c>
      <c r="C32" s="99">
        <v>0.48471366586554798</v>
      </c>
    </row>
    <row r="33" spans="1:5" ht="13" customHeight="1" x14ac:dyDescent="0.25">
      <c r="B33" s="27" t="s">
        <v>30</v>
      </c>
      <c r="C33" s="48">
        <f>SUM(C29:C32)</f>
        <v>1.0000000000000004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16.569072394038301</v>
      </c>
    </row>
    <row r="38" spans="1:5" ht="15" customHeight="1" x14ac:dyDescent="0.25">
      <c r="B38" s="11" t="s">
        <v>34</v>
      </c>
      <c r="C38" s="43">
        <v>23.849666099433801</v>
      </c>
      <c r="D38" s="12"/>
      <c r="E38" s="13"/>
    </row>
    <row r="39" spans="1:5" ht="15" customHeight="1" x14ac:dyDescent="0.25">
      <c r="B39" s="11" t="s">
        <v>35</v>
      </c>
      <c r="C39" s="43">
        <v>28.492514381946101</v>
      </c>
      <c r="D39" s="12"/>
      <c r="E39" s="12"/>
    </row>
    <row r="40" spans="1:5" ht="15" customHeight="1" x14ac:dyDescent="0.25">
      <c r="B40" s="11" t="s">
        <v>36</v>
      </c>
      <c r="C40" s="100">
        <v>1.83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9.6558075910000003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1.65609E-2</v>
      </c>
      <c r="D45" s="12"/>
    </row>
    <row r="46" spans="1:5" ht="15.75" customHeight="1" x14ac:dyDescent="0.25">
      <c r="B46" s="11" t="s">
        <v>41</v>
      </c>
      <c r="C46" s="45">
        <v>0.1092769</v>
      </c>
      <c r="D46" s="12"/>
    </row>
    <row r="47" spans="1:5" ht="15.75" customHeight="1" x14ac:dyDescent="0.25">
      <c r="B47" s="11" t="s">
        <v>42</v>
      </c>
      <c r="C47" s="45">
        <v>0.36509540000000001</v>
      </c>
      <c r="D47" s="12"/>
      <c r="E47" s="13"/>
    </row>
    <row r="48" spans="1:5" ht="15" customHeight="1" x14ac:dyDescent="0.25">
      <c r="B48" s="11" t="s">
        <v>43</v>
      </c>
      <c r="C48" s="46">
        <v>0.50906680000000004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2.4</v>
      </c>
      <c r="D51" s="12"/>
    </row>
    <row r="52" spans="1:4" ht="15" customHeight="1" x14ac:dyDescent="0.25">
      <c r="B52" s="11" t="s">
        <v>46</v>
      </c>
      <c r="C52" s="100">
        <v>2.4</v>
      </c>
    </row>
    <row r="53" spans="1:4" ht="15.75" customHeight="1" x14ac:dyDescent="0.25">
      <c r="B53" s="11" t="s">
        <v>47</v>
      </c>
      <c r="C53" s="100">
        <v>2.4</v>
      </c>
    </row>
    <row r="54" spans="1:4" ht="15.75" customHeight="1" x14ac:dyDescent="0.25">
      <c r="B54" s="11" t="s">
        <v>48</v>
      </c>
      <c r="C54" s="100">
        <v>2.4</v>
      </c>
    </row>
    <row r="55" spans="1:4" ht="15.75" customHeight="1" x14ac:dyDescent="0.25">
      <c r="B55" s="11" t="s">
        <v>49</v>
      </c>
      <c r="C55" s="100">
        <v>2.4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2.1666666666666671E-2</v>
      </c>
    </row>
    <row r="59" spans="1:4" ht="15.75" customHeight="1" x14ac:dyDescent="0.25">
      <c r="B59" s="11" t="s">
        <v>52</v>
      </c>
      <c r="C59" s="45">
        <v>0.48878400000000011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0.11662965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13988.287200000001</v>
      </c>
      <c r="C2" s="49">
        <v>35000</v>
      </c>
      <c r="D2" s="49">
        <v>76000</v>
      </c>
      <c r="E2" s="49">
        <v>72000</v>
      </c>
      <c r="F2" s="49">
        <v>48000</v>
      </c>
      <c r="G2" s="17">
        <f t="shared" ref="G2:G11" si="0">C2+D2+E2+F2</f>
        <v>231000</v>
      </c>
      <c r="H2" s="17">
        <f t="shared" ref="H2:H11" si="1">(B2 + stillbirth*B2/(1000-stillbirth))/(1-abortion)</f>
        <v>16050.763997943603</v>
      </c>
      <c r="I2" s="17">
        <f t="shared" ref="I2:I11" si="2">G2-H2</f>
        <v>214949.23600205639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13830.200800000001</v>
      </c>
      <c r="C3" s="50">
        <v>35000</v>
      </c>
      <c r="D3" s="50">
        <v>74000</v>
      </c>
      <c r="E3" s="50">
        <v>73000</v>
      </c>
      <c r="F3" s="50">
        <v>49000</v>
      </c>
      <c r="G3" s="17">
        <f t="shared" si="0"/>
        <v>231000</v>
      </c>
      <c r="H3" s="17">
        <f t="shared" si="1"/>
        <v>15869.368844884084</v>
      </c>
      <c r="I3" s="17">
        <f t="shared" si="2"/>
        <v>215130.6311551159</v>
      </c>
    </row>
    <row r="4" spans="1:9" ht="15.75" customHeight="1" x14ac:dyDescent="0.25">
      <c r="A4" s="5">
        <f t="shared" si="3"/>
        <v>2023</v>
      </c>
      <c r="B4" s="49">
        <v>13665.630800000001</v>
      </c>
      <c r="C4" s="50">
        <v>35000</v>
      </c>
      <c r="D4" s="50">
        <v>74000</v>
      </c>
      <c r="E4" s="50">
        <v>75000</v>
      </c>
      <c r="F4" s="50">
        <v>51000</v>
      </c>
      <c r="G4" s="17">
        <f t="shared" si="0"/>
        <v>235000</v>
      </c>
      <c r="H4" s="17">
        <f t="shared" si="1"/>
        <v>15680.534129570149</v>
      </c>
      <c r="I4" s="17">
        <f t="shared" si="2"/>
        <v>219319.46587042985</v>
      </c>
    </row>
    <row r="5" spans="1:9" ht="15.75" customHeight="1" x14ac:dyDescent="0.25">
      <c r="A5" s="5">
        <f t="shared" si="3"/>
        <v>2024</v>
      </c>
      <c r="B5" s="49">
        <v>13479.084000000001</v>
      </c>
      <c r="C5" s="50">
        <v>36000</v>
      </c>
      <c r="D5" s="50">
        <v>72000</v>
      </c>
      <c r="E5" s="50">
        <v>76000</v>
      </c>
      <c r="F5" s="50">
        <v>53000</v>
      </c>
      <c r="G5" s="17">
        <f t="shared" si="0"/>
        <v>237000</v>
      </c>
      <c r="H5" s="17">
        <f t="shared" si="1"/>
        <v>15466.482286155639</v>
      </c>
      <c r="I5" s="17">
        <f t="shared" si="2"/>
        <v>221533.51771384437</v>
      </c>
    </row>
    <row r="6" spans="1:9" ht="15.75" customHeight="1" x14ac:dyDescent="0.25">
      <c r="A6" s="5">
        <f t="shared" si="3"/>
        <v>2025</v>
      </c>
      <c r="B6" s="49">
        <v>13286.773999999999</v>
      </c>
      <c r="C6" s="50">
        <v>36000</v>
      </c>
      <c r="D6" s="50">
        <v>72000</v>
      </c>
      <c r="E6" s="50">
        <v>77000</v>
      </c>
      <c r="F6" s="50">
        <v>56000</v>
      </c>
      <c r="G6" s="17">
        <f t="shared" si="0"/>
        <v>241000</v>
      </c>
      <c r="H6" s="17">
        <f t="shared" si="1"/>
        <v>15245.81749851498</v>
      </c>
      <c r="I6" s="17">
        <f t="shared" si="2"/>
        <v>225754.18250148502</v>
      </c>
    </row>
    <row r="7" spans="1:9" ht="15.75" customHeight="1" x14ac:dyDescent="0.25">
      <c r="A7" s="5">
        <f t="shared" si="3"/>
        <v>2026</v>
      </c>
      <c r="B7" s="49">
        <v>13123.609200000001</v>
      </c>
      <c r="C7" s="50">
        <v>35000</v>
      </c>
      <c r="D7" s="50">
        <v>72000</v>
      </c>
      <c r="E7" s="50">
        <v>77000</v>
      </c>
      <c r="F7" s="50">
        <v>58000</v>
      </c>
      <c r="G7" s="17">
        <f t="shared" si="0"/>
        <v>242000</v>
      </c>
      <c r="H7" s="17">
        <f t="shared" si="1"/>
        <v>15058.59517028228</v>
      </c>
      <c r="I7" s="17">
        <f t="shared" si="2"/>
        <v>226941.40482971771</v>
      </c>
    </row>
    <row r="8" spans="1:9" ht="15.75" customHeight="1" x14ac:dyDescent="0.25">
      <c r="A8" s="5">
        <f t="shared" si="3"/>
        <v>2027</v>
      </c>
      <c r="B8" s="49">
        <v>12940.8202</v>
      </c>
      <c r="C8" s="50">
        <v>35000</v>
      </c>
      <c r="D8" s="50">
        <v>71000</v>
      </c>
      <c r="E8" s="50">
        <v>77000</v>
      </c>
      <c r="F8" s="50">
        <v>61000</v>
      </c>
      <c r="G8" s="17">
        <f t="shared" si="0"/>
        <v>244000</v>
      </c>
      <c r="H8" s="17">
        <f t="shared" si="1"/>
        <v>14848.855188648209</v>
      </c>
      <c r="I8" s="17">
        <f t="shared" si="2"/>
        <v>229151.14481135178</v>
      </c>
    </row>
    <row r="9" spans="1:9" ht="15.75" customHeight="1" x14ac:dyDescent="0.25">
      <c r="A9" s="5">
        <f t="shared" si="3"/>
        <v>2028</v>
      </c>
      <c r="B9" s="49">
        <v>12753.54</v>
      </c>
      <c r="C9" s="50">
        <v>35000</v>
      </c>
      <c r="D9" s="50">
        <v>71000</v>
      </c>
      <c r="E9" s="50">
        <v>77000</v>
      </c>
      <c r="F9" s="50">
        <v>63000</v>
      </c>
      <c r="G9" s="17">
        <f t="shared" si="0"/>
        <v>246000</v>
      </c>
      <c r="H9" s="17">
        <f t="shared" si="1"/>
        <v>14633.961810444789</v>
      </c>
      <c r="I9" s="17">
        <f t="shared" si="2"/>
        <v>231366.0381895552</v>
      </c>
    </row>
    <row r="10" spans="1:9" ht="15.75" customHeight="1" x14ac:dyDescent="0.25">
      <c r="A10" s="5">
        <f t="shared" si="3"/>
        <v>2029</v>
      </c>
      <c r="B10" s="49">
        <v>12561.768599999999</v>
      </c>
      <c r="C10" s="50">
        <v>34000</v>
      </c>
      <c r="D10" s="50">
        <v>70000</v>
      </c>
      <c r="E10" s="50">
        <v>75000</v>
      </c>
      <c r="F10" s="50">
        <v>65000</v>
      </c>
      <c r="G10" s="17">
        <f t="shared" si="0"/>
        <v>244000</v>
      </c>
      <c r="H10" s="17">
        <f t="shared" si="1"/>
        <v>14413.915035672017</v>
      </c>
      <c r="I10" s="17">
        <f t="shared" si="2"/>
        <v>229586.08496432798</v>
      </c>
    </row>
    <row r="11" spans="1:9" ht="15.75" customHeight="1" x14ac:dyDescent="0.25">
      <c r="A11" s="5">
        <f t="shared" si="3"/>
        <v>2030</v>
      </c>
      <c r="B11" s="49">
        <v>12365.505999999999</v>
      </c>
      <c r="C11" s="50">
        <v>34000</v>
      </c>
      <c r="D11" s="50">
        <v>70000</v>
      </c>
      <c r="E11" s="50">
        <v>75000</v>
      </c>
      <c r="F11" s="50">
        <v>67000</v>
      </c>
      <c r="G11" s="17">
        <f t="shared" si="0"/>
        <v>246000</v>
      </c>
      <c r="H11" s="17">
        <f t="shared" si="1"/>
        <v>14188.714864329893</v>
      </c>
      <c r="I11" s="17">
        <f t="shared" si="2"/>
        <v>231811.2851356701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2.9789614758972301E-3</v>
      </c>
    </row>
    <row r="4" spans="1:8" ht="15.75" customHeight="1" x14ac:dyDescent="0.25">
      <c r="B4" s="19" t="s">
        <v>69</v>
      </c>
      <c r="C4" s="101">
        <v>0.1649768520560225</v>
      </c>
    </row>
    <row r="5" spans="1:8" ht="15.75" customHeight="1" x14ac:dyDescent="0.25">
      <c r="B5" s="19" t="s">
        <v>70</v>
      </c>
      <c r="C5" s="101">
        <v>5.1776858764593321E-2</v>
      </c>
    </row>
    <row r="6" spans="1:8" ht="15.75" customHeight="1" x14ac:dyDescent="0.25">
      <c r="B6" s="19" t="s">
        <v>71</v>
      </c>
      <c r="C6" s="101">
        <v>0.2191247016985779</v>
      </c>
    </row>
    <row r="7" spans="1:8" ht="15.75" customHeight="1" x14ac:dyDescent="0.25">
      <c r="B7" s="19" t="s">
        <v>72</v>
      </c>
      <c r="C7" s="101">
        <v>0.33885942825492349</v>
      </c>
    </row>
    <row r="8" spans="1:8" ht="15.75" customHeight="1" x14ac:dyDescent="0.25">
      <c r="B8" s="19" t="s">
        <v>73</v>
      </c>
      <c r="C8" s="101">
        <v>3.1334662543682692E-3</v>
      </c>
    </row>
    <row r="9" spans="1:8" ht="15.75" customHeight="1" x14ac:dyDescent="0.25">
      <c r="B9" s="19" t="s">
        <v>74</v>
      </c>
      <c r="C9" s="101">
        <v>0.1417206421602237</v>
      </c>
    </row>
    <row r="10" spans="1:8" ht="15.75" customHeight="1" x14ac:dyDescent="0.25">
      <c r="B10" s="19" t="s">
        <v>75</v>
      </c>
      <c r="C10" s="101">
        <v>7.7429089335393372E-2</v>
      </c>
    </row>
    <row r="11" spans="1:8" ht="15.75" customHeight="1" x14ac:dyDescent="0.25">
      <c r="B11" s="27" t="s">
        <v>30</v>
      </c>
      <c r="C11" s="48">
        <f>SUM(C3:C10)</f>
        <v>0.99999999999999989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0.1320202979280832</v>
      </c>
      <c r="D14" s="55">
        <v>0.1320202979280832</v>
      </c>
      <c r="E14" s="55">
        <v>0.1320202979280832</v>
      </c>
      <c r="F14" s="55">
        <v>0.1320202979280832</v>
      </c>
    </row>
    <row r="15" spans="1:8" ht="15.75" customHeight="1" x14ac:dyDescent="0.25">
      <c r="B15" s="19" t="s">
        <v>82</v>
      </c>
      <c r="C15" s="101">
        <v>0.2636575142141126</v>
      </c>
      <c r="D15" s="101">
        <v>0.2636575142141126</v>
      </c>
      <c r="E15" s="101">
        <v>0.2636575142141126</v>
      </c>
      <c r="F15" s="101">
        <v>0.2636575142141126</v>
      </c>
    </row>
    <row r="16" spans="1:8" ht="15.75" customHeight="1" x14ac:dyDescent="0.25">
      <c r="B16" s="19" t="s">
        <v>83</v>
      </c>
      <c r="C16" s="101">
        <v>2.6004846281201619E-2</v>
      </c>
      <c r="D16" s="101">
        <v>2.6004846281201619E-2</v>
      </c>
      <c r="E16" s="101">
        <v>2.6004846281201619E-2</v>
      </c>
      <c r="F16" s="101">
        <v>2.6004846281201619E-2</v>
      </c>
    </row>
    <row r="17" spans="1:8" ht="15.75" customHeight="1" x14ac:dyDescent="0.25">
      <c r="B17" s="19" t="s">
        <v>84</v>
      </c>
      <c r="C17" s="101">
        <v>1.22881080253793E-2</v>
      </c>
      <c r="D17" s="101">
        <v>1.22881080253793E-2</v>
      </c>
      <c r="E17" s="101">
        <v>1.22881080253793E-2</v>
      </c>
      <c r="F17" s="101">
        <v>1.22881080253793E-2</v>
      </c>
    </row>
    <row r="18" spans="1:8" ht="15.75" customHeight="1" x14ac:dyDescent="0.25">
      <c r="B18" s="19" t="s">
        <v>85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86</v>
      </c>
      <c r="C19" s="101">
        <v>1.0407138425792609E-2</v>
      </c>
      <c r="D19" s="101">
        <v>1.0407138425792609E-2</v>
      </c>
      <c r="E19" s="101">
        <v>1.0407138425792609E-2</v>
      </c>
      <c r="F19" s="101">
        <v>1.0407138425792609E-2</v>
      </c>
    </row>
    <row r="20" spans="1:8" ht="15.75" customHeight="1" x14ac:dyDescent="0.25">
      <c r="B20" s="19" t="s">
        <v>87</v>
      </c>
      <c r="C20" s="101">
        <v>1.443355128665263E-2</v>
      </c>
      <c r="D20" s="101">
        <v>1.443355128665263E-2</v>
      </c>
      <c r="E20" s="101">
        <v>1.443355128665263E-2</v>
      </c>
      <c r="F20" s="101">
        <v>1.443355128665263E-2</v>
      </c>
    </row>
    <row r="21" spans="1:8" ht="15.75" customHeight="1" x14ac:dyDescent="0.25">
      <c r="B21" s="19" t="s">
        <v>88</v>
      </c>
      <c r="C21" s="101">
        <v>0.138998855055674</v>
      </c>
      <c r="D21" s="101">
        <v>0.138998855055674</v>
      </c>
      <c r="E21" s="101">
        <v>0.138998855055674</v>
      </c>
      <c r="F21" s="101">
        <v>0.138998855055674</v>
      </c>
    </row>
    <row r="22" spans="1:8" ht="15.75" customHeight="1" x14ac:dyDescent="0.25">
      <c r="B22" s="19" t="s">
        <v>89</v>
      </c>
      <c r="C22" s="101">
        <v>0.40218968878310413</v>
      </c>
      <c r="D22" s="101">
        <v>0.40218968878310413</v>
      </c>
      <c r="E22" s="101">
        <v>0.40218968878310413</v>
      </c>
      <c r="F22" s="101">
        <v>0.40218968878310413</v>
      </c>
    </row>
    <row r="23" spans="1:8" ht="15.75" customHeight="1" x14ac:dyDescent="0.25">
      <c r="B23" s="27" t="s">
        <v>30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2.0391851999999999E-2</v>
      </c>
    </row>
    <row r="27" spans="1:8" ht="15.75" customHeight="1" x14ac:dyDescent="0.25">
      <c r="B27" s="19" t="s">
        <v>92</v>
      </c>
      <c r="C27" s="101">
        <v>1.2112826E-2</v>
      </c>
    </row>
    <row r="28" spans="1:8" ht="15.75" customHeight="1" x14ac:dyDescent="0.25">
      <c r="B28" s="19" t="s">
        <v>93</v>
      </c>
      <c r="C28" s="101">
        <v>0.20645870999999999</v>
      </c>
    </row>
    <row r="29" spans="1:8" ht="15.75" customHeight="1" x14ac:dyDescent="0.25">
      <c r="B29" s="19" t="s">
        <v>94</v>
      </c>
      <c r="C29" s="101">
        <v>0.14582909399999999</v>
      </c>
    </row>
    <row r="30" spans="1:8" ht="15.75" customHeight="1" x14ac:dyDescent="0.25">
      <c r="B30" s="19" t="s">
        <v>95</v>
      </c>
      <c r="C30" s="101">
        <v>4.8967666E-2</v>
      </c>
    </row>
    <row r="31" spans="1:8" ht="15.75" customHeight="1" x14ac:dyDescent="0.25">
      <c r="B31" s="19" t="s">
        <v>96</v>
      </c>
      <c r="C31" s="101">
        <v>9.2788695000000004E-2</v>
      </c>
    </row>
    <row r="32" spans="1:8" ht="15.75" customHeight="1" x14ac:dyDescent="0.25">
      <c r="B32" s="19" t="s">
        <v>97</v>
      </c>
      <c r="C32" s="101">
        <v>1.0910125E-2</v>
      </c>
    </row>
    <row r="33" spans="2:3" ht="15.75" customHeight="1" x14ac:dyDescent="0.25">
      <c r="B33" s="19" t="s">
        <v>98</v>
      </c>
      <c r="C33" s="101">
        <v>0.3714693</v>
      </c>
    </row>
    <row r="34" spans="2:3" ht="15.75" customHeight="1" x14ac:dyDescent="0.25">
      <c r="B34" s="19" t="s">
        <v>99</v>
      </c>
      <c r="C34" s="101">
        <v>9.1071732999999988E-2</v>
      </c>
    </row>
    <row r="35" spans="2:3" ht="15.75" customHeight="1" x14ac:dyDescent="0.25">
      <c r="B35" s="27" t="s">
        <v>30</v>
      </c>
      <c r="C35" s="48">
        <f>SUM(C26:C34)</f>
        <v>1.0000000010000001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0.42378201878194477</v>
      </c>
      <c r="D2" s="52">
        <f>IFERROR(1-_xlfn.NORM.DIST(_xlfn.NORM.INV(SUM(D4:D5), 0, 1) + 1, 0, 1, TRUE), "")</f>
        <v>0.42378201878194477</v>
      </c>
      <c r="E2" s="52">
        <f>IFERROR(1-_xlfn.NORM.DIST(_xlfn.NORM.INV(SUM(E4:E5), 0, 1) + 1, 0, 1, TRUE), "")</f>
        <v>0.48608537675152186</v>
      </c>
      <c r="F2" s="52">
        <f>IFERROR(1-_xlfn.NORM.DIST(_xlfn.NORM.INV(SUM(F4:F5), 0, 1) + 1, 0, 1, TRUE), "")</f>
        <v>0.26164678066813452</v>
      </c>
      <c r="G2" s="52">
        <f>IFERROR(1-_xlfn.NORM.DIST(_xlfn.NORM.INV(SUM(G4:G5), 0, 1) + 1, 0, 1, TRUE), "")</f>
        <v>0.24877361890334271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0.36660721355552961</v>
      </c>
      <c r="D3" s="52">
        <f>IFERROR(_xlfn.NORM.DIST(_xlfn.NORM.INV(SUM(D4:D5), 0, 1) + 1, 0, 1, TRUE) - SUM(D4:D5), "")</f>
        <v>0.36660721355552961</v>
      </c>
      <c r="E3" s="52">
        <f>IFERROR(_xlfn.NORM.DIST(_xlfn.NORM.INV(SUM(E4:E5), 0, 1) + 1, 0, 1, TRUE) - SUM(E4:E5), "")</f>
        <v>0.34667079983939764</v>
      </c>
      <c r="F3" s="52">
        <f>IFERROR(_xlfn.NORM.DIST(_xlfn.NORM.INV(SUM(F4:F5), 0, 1) + 1, 0, 1, TRUE) - SUM(F4:F5), "")</f>
        <v>0.37957380384362249</v>
      </c>
      <c r="G3" s="52">
        <f>IFERROR(_xlfn.NORM.DIST(_xlfn.NORM.INV(SUM(G4:G5), 0, 1) + 1, 0, 1, TRUE) - SUM(G4:G5), "")</f>
        <v>0.37736591759663529</v>
      </c>
    </row>
    <row r="4" spans="1:15" ht="15.75" customHeight="1" x14ac:dyDescent="0.25">
      <c r="B4" s="5" t="s">
        <v>104</v>
      </c>
      <c r="C4" s="45">
        <v>0.11483576893806501</v>
      </c>
      <c r="D4" s="53">
        <v>0.11483576893806501</v>
      </c>
      <c r="E4" s="53">
        <v>7.4652738869190202E-2</v>
      </c>
      <c r="F4" s="53">
        <v>0.213131308555603</v>
      </c>
      <c r="G4" s="53">
        <v>0.23221144080162001</v>
      </c>
    </row>
    <row r="5" spans="1:15" ht="15.75" customHeight="1" x14ac:dyDescent="0.25">
      <c r="B5" s="5" t="s">
        <v>105</v>
      </c>
      <c r="C5" s="45">
        <v>9.4774998724460602E-2</v>
      </c>
      <c r="D5" s="53">
        <v>9.4774998724460602E-2</v>
      </c>
      <c r="E5" s="53">
        <v>9.2591084539890303E-2</v>
      </c>
      <c r="F5" s="53">
        <v>0.14564810693263999</v>
      </c>
      <c r="G5" s="53">
        <v>0.14164902269840199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0.51333218406637382</v>
      </c>
      <c r="D8" s="52">
        <f>IFERROR(1-_xlfn.NORM.DIST(_xlfn.NORM.INV(SUM(D10:D11), 0, 1) + 1, 0, 1, TRUE), "")</f>
        <v>0.51333218406637382</v>
      </c>
      <c r="E8" s="52">
        <f>IFERROR(1-_xlfn.NORM.DIST(_xlfn.NORM.INV(SUM(E10:E11), 0, 1) + 1, 0, 1, TRUE), "")</f>
        <v>0.61169237501123486</v>
      </c>
      <c r="F8" s="52">
        <f>IFERROR(1-_xlfn.NORM.DIST(_xlfn.NORM.INV(SUM(F10:F11), 0, 1) + 1, 0, 1, TRUE), "")</f>
        <v>0.70590026901948222</v>
      </c>
      <c r="G8" s="52">
        <f>IFERROR(1-_xlfn.NORM.DIST(_xlfn.NORM.INV(SUM(G10:G11), 0, 1) + 1, 0, 1, TRUE), "")</f>
        <v>0.77885207137059753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0.33596530217925835</v>
      </c>
      <c r="D9" s="52">
        <f>IFERROR(_xlfn.NORM.DIST(_xlfn.NORM.INV(SUM(D10:D11), 0, 1) + 1, 0, 1, TRUE) - SUM(D10:D11), "")</f>
        <v>0.33596530217925835</v>
      </c>
      <c r="E9" s="52">
        <f>IFERROR(_xlfn.NORM.DIST(_xlfn.NORM.INV(SUM(E10:E11), 0, 1) + 1, 0, 1, TRUE) - SUM(E10:E11), "")</f>
        <v>0.28868987181088401</v>
      </c>
      <c r="F9" s="52">
        <f>IFERROR(_xlfn.NORM.DIST(_xlfn.NORM.INV(SUM(F10:F11), 0, 1) + 1, 0, 1, TRUE) - SUM(F10:F11), "")</f>
        <v>0.23249572476458785</v>
      </c>
      <c r="G9" s="52">
        <f>IFERROR(_xlfn.NORM.DIST(_xlfn.NORM.INV(SUM(G10:G11), 0, 1) + 1, 0, 1, TRUE) - SUM(G10:G11), "")</f>
        <v>0.18264439167488028</v>
      </c>
    </row>
    <row r="10" spans="1:15" ht="15.75" customHeight="1" x14ac:dyDescent="0.25">
      <c r="B10" s="5" t="s">
        <v>109</v>
      </c>
      <c r="C10" s="45">
        <v>6.7005068063736004E-2</v>
      </c>
      <c r="D10" s="53">
        <v>6.7005068063736004E-2</v>
      </c>
      <c r="E10" s="53">
        <v>6.67081773281097E-2</v>
      </c>
      <c r="F10" s="53">
        <v>4.1234914213419002E-2</v>
      </c>
      <c r="G10" s="53">
        <v>2.8616555035114299E-2</v>
      </c>
    </row>
    <row r="11" spans="1:15" ht="15.75" customHeight="1" x14ac:dyDescent="0.25">
      <c r="B11" s="5" t="s">
        <v>110</v>
      </c>
      <c r="C11" s="45">
        <v>8.3697445690631908E-2</v>
      </c>
      <c r="D11" s="53">
        <v>8.3697445690631908E-2</v>
      </c>
      <c r="E11" s="53">
        <v>3.29095758497715E-2</v>
      </c>
      <c r="F11" s="53">
        <v>2.0369092002511E-2</v>
      </c>
      <c r="G11" s="53">
        <v>9.8869819194078393E-3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0.92247155925000002</v>
      </c>
      <c r="D14" s="54">
        <v>0.91737426694000002</v>
      </c>
      <c r="E14" s="54">
        <v>0.91737426694000002</v>
      </c>
      <c r="F14" s="54">
        <v>0.84381044781000003</v>
      </c>
      <c r="G14" s="54">
        <v>0.84381044781000003</v>
      </c>
      <c r="H14" s="45">
        <v>0.32800000000000001</v>
      </c>
      <c r="I14" s="55">
        <v>0.32800000000000001</v>
      </c>
      <c r="J14" s="55">
        <v>0.32800000000000001</v>
      </c>
      <c r="K14" s="55">
        <v>0.32800000000000001</v>
      </c>
      <c r="L14" s="45">
        <v>0.35699999999999998</v>
      </c>
      <c r="M14" s="55">
        <v>0.35699999999999998</v>
      </c>
      <c r="N14" s="55">
        <v>0.35699999999999998</v>
      </c>
      <c r="O14" s="55">
        <v>0.35699999999999998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0.45088933861645208</v>
      </c>
      <c r="D15" s="52">
        <f t="shared" si="0"/>
        <v>0.44839786369200108</v>
      </c>
      <c r="E15" s="52">
        <f t="shared" si="0"/>
        <v>0.44839786369200108</v>
      </c>
      <c r="F15" s="52">
        <f t="shared" si="0"/>
        <v>0.41244104592236314</v>
      </c>
      <c r="G15" s="52">
        <f t="shared" si="0"/>
        <v>0.41244104592236314</v>
      </c>
      <c r="H15" s="52">
        <f t="shared" si="0"/>
        <v>0.16032115200000005</v>
      </c>
      <c r="I15" s="52">
        <f t="shared" si="0"/>
        <v>0.16032115200000005</v>
      </c>
      <c r="J15" s="52">
        <f t="shared" si="0"/>
        <v>0.16032115200000005</v>
      </c>
      <c r="K15" s="52">
        <f t="shared" si="0"/>
        <v>0.16032115200000005</v>
      </c>
      <c r="L15" s="52">
        <f t="shared" si="0"/>
        <v>0.17449588800000004</v>
      </c>
      <c r="M15" s="52">
        <f t="shared" si="0"/>
        <v>0.17449588800000004</v>
      </c>
      <c r="N15" s="52">
        <f t="shared" si="0"/>
        <v>0.17449588800000004</v>
      </c>
      <c r="O15" s="52">
        <f t="shared" si="0"/>
        <v>0.17449588800000004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0.71490067243575994</v>
      </c>
      <c r="D2" s="53">
        <v>0.43867450000000002</v>
      </c>
      <c r="E2" s="53"/>
      <c r="F2" s="53"/>
      <c r="G2" s="53"/>
    </row>
    <row r="3" spans="1:7" x14ac:dyDescent="0.25">
      <c r="B3" s="3" t="s">
        <v>120</v>
      </c>
      <c r="C3" s="53">
        <v>0.15027861297130601</v>
      </c>
      <c r="D3" s="53">
        <v>0.1844066</v>
      </c>
      <c r="E3" s="53"/>
      <c r="F3" s="53"/>
      <c r="G3" s="53"/>
    </row>
    <row r="4" spans="1:7" x14ac:dyDescent="0.25">
      <c r="B4" s="3" t="s">
        <v>121</v>
      </c>
      <c r="C4" s="53">
        <v>0.13220341503620101</v>
      </c>
      <c r="D4" s="53">
        <v>0.37343589999999999</v>
      </c>
      <c r="E4" s="53">
        <v>0.98593640327453602</v>
      </c>
      <c r="F4" s="53">
        <v>0.80405026674270597</v>
      </c>
      <c r="G4" s="53"/>
    </row>
    <row r="5" spans="1:7" x14ac:dyDescent="0.25">
      <c r="B5" s="3" t="s">
        <v>122</v>
      </c>
      <c r="C5" s="52">
        <v>2.6173018850386099E-3</v>
      </c>
      <c r="D5" s="52">
        <v>3.4830605145543801E-3</v>
      </c>
      <c r="E5" s="52">
        <f>1-SUM(E2:E4)</f>
        <v>1.4063596725463978E-2</v>
      </c>
      <c r="F5" s="52">
        <f>1-SUM(F2:F4)</f>
        <v>0.19594973325729403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ht="13.25" customHeight="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ht="13.25" customHeight="1" x14ac:dyDescent="0.25">
      <c r="B3" s="9"/>
    </row>
    <row r="4" spans="1:11" ht="13.25" customHeight="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ht="13.25" customHeight="1" x14ac:dyDescent="0.25">
      <c r="B5" s="9"/>
    </row>
    <row r="6" spans="1:11" ht="13.25" customHeight="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ht="13.25" customHeight="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3.25" customHeight="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ht="13.25" customHeight="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ht="13.25" customHeight="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ht="13.25" customHeight="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3.25" customHeight="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ht="13.25" customHeight="1" x14ac:dyDescent="0.25">
      <c r="A2" s="8" t="s">
        <v>137</v>
      </c>
      <c r="B2" s="41">
        <v>10</v>
      </c>
    </row>
    <row r="3" spans="1:2" ht="13.25" customHeight="1" x14ac:dyDescent="0.25">
      <c r="A3" s="8" t="s">
        <v>138</v>
      </c>
      <c r="B3" s="41">
        <v>10</v>
      </c>
    </row>
    <row r="4" spans="1:2" ht="13.25" customHeight="1" x14ac:dyDescent="0.25">
      <c r="A4" s="8" t="s">
        <v>139</v>
      </c>
      <c r="B4" s="41">
        <v>10</v>
      </c>
    </row>
    <row r="5" spans="1:2" ht="13.25" customHeight="1" x14ac:dyDescent="0.25">
      <c r="A5" s="8" t="s">
        <v>140</v>
      </c>
      <c r="B5" s="41">
        <v>10</v>
      </c>
    </row>
    <row r="6" spans="1:2" ht="13.25" customHeight="1" x14ac:dyDescent="0.25">
      <c r="A6" s="8" t="s">
        <v>141</v>
      </c>
      <c r="B6" s="41">
        <v>10</v>
      </c>
    </row>
    <row r="7" spans="1:2" ht="13.25" customHeight="1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ht="13.25" customHeight="1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ht="13.25" customHeight="1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ht="13.25" customHeight="1" x14ac:dyDescent="0.25">
      <c r="B5" s="32" t="s">
        <v>78</v>
      </c>
      <c r="C5" s="47"/>
      <c r="D5" s="47"/>
      <c r="E5" s="38" t="str">
        <f>IF(E$7="","",E$7)</f>
        <v/>
      </c>
    </row>
    <row r="6" spans="1:5" ht="13.25" customHeight="1" x14ac:dyDescent="0.25">
      <c r="B6" s="32" t="s">
        <v>79</v>
      </c>
      <c r="C6" s="47"/>
      <c r="D6" s="47"/>
      <c r="E6" s="38" t="str">
        <f>IF(E$7="","",E$7)</f>
        <v/>
      </c>
    </row>
    <row r="7" spans="1:5" ht="13.25" customHeight="1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ht="13.25" customHeight="1" x14ac:dyDescent="0.25">
      <c r="B10" s="32" t="s">
        <v>67</v>
      </c>
      <c r="C10" s="47"/>
      <c r="D10" s="47"/>
      <c r="E10" s="38" t="str">
        <f>IF(E$7="","",E$7)</f>
        <v/>
      </c>
    </row>
    <row r="11" spans="1:5" ht="13.25" customHeight="1" x14ac:dyDescent="0.25">
      <c r="B11" s="32" t="s">
        <v>77</v>
      </c>
      <c r="C11" s="47"/>
      <c r="D11" s="47"/>
      <c r="E11" s="38" t="str">
        <f>IF(E$7="","",E$7)</f>
        <v/>
      </c>
    </row>
    <row r="12" spans="1:5" ht="13.25" customHeight="1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ht="13.25" customHeight="1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ht="13.25" customHeight="1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ht="13.25" customHeight="1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ht="13.25" customHeight="1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ht="13.25" customHeight="1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ht="13.25" customHeight="1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ht="13.25" customHeight="1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0.14485249642133699</v>
      </c>
      <c r="C2" s="98">
        <v>0.95</v>
      </c>
      <c r="D2" s="56">
        <v>49.287869290922437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39.684198983342803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277.35471353022348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1.1633680590126969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12.816498427138701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12.816498427138701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12.816498427138701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12.816498427138701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12.816498427138701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12.816498427138701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0.24016137143402599</v>
      </c>
      <c r="C16" s="98">
        <v>0.95</v>
      </c>
      <c r="D16" s="56">
        <v>0.52326422703405329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0.9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6.4352685672608949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6.4352685672608949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0.574593186378479</v>
      </c>
      <c r="C21" s="98">
        <v>0.95</v>
      </c>
      <c r="D21" s="56">
        <v>11.985155491425511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22.014584291522841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0.2315497017</v>
      </c>
      <c r="C23" s="98">
        <v>0.95</v>
      </c>
      <c r="D23" s="56">
        <v>4.1570370268154289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0.47234171413439402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0.18576385285854299</v>
      </c>
      <c r="C27" s="98">
        <v>0.95</v>
      </c>
      <c r="D27" s="56">
        <v>18.471268288136731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0.60908189999999995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93.696773026618672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1.5479984877076829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0.43867450000000002</v>
      </c>
      <c r="C32" s="98">
        <v>0.95</v>
      </c>
      <c r="D32" s="56">
        <v>1.1034095765662739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0.69253935451712811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0.45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8.1806425005197508E-3</v>
      </c>
      <c r="C38" s="98">
        <v>0.95</v>
      </c>
      <c r="D38" s="56">
        <v>2.4706285348208592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0.88700000000000001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B8" sqref="B7:B8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ht="13.25" customHeight="1" x14ac:dyDescent="0.25">
      <c r="A2" s="57" t="s">
        <v>179</v>
      </c>
      <c r="B2" s="47" t="s">
        <v>189</v>
      </c>
      <c r="C2" s="47"/>
    </row>
    <row r="3" spans="1:3" ht="13.25" customHeight="1" x14ac:dyDescent="0.25">
      <c r="A3" s="57" t="s">
        <v>180</v>
      </c>
      <c r="B3" s="47" t="s">
        <v>189</v>
      </c>
      <c r="C3" s="47"/>
    </row>
    <row r="4" spans="1:3" ht="13.25" customHeight="1" x14ac:dyDescent="0.25">
      <c r="A4" s="57" t="s">
        <v>191</v>
      </c>
      <c r="B4" s="47" t="s">
        <v>184</v>
      </c>
      <c r="C4" s="47"/>
    </row>
    <row r="5" spans="1:3" ht="13.25" customHeight="1" x14ac:dyDescent="0.25">
      <c r="A5" s="57" t="s">
        <v>188</v>
      </c>
      <c r="B5" s="47" t="s">
        <v>184</v>
      </c>
      <c r="C5" s="47"/>
    </row>
    <row r="6" spans="1:3" ht="13.25" customHeight="1" x14ac:dyDescent="0.25">
      <c r="A6" s="57"/>
      <c r="B6" s="58"/>
      <c r="C6" s="58"/>
    </row>
    <row r="7" spans="1:3" ht="13.25" customHeight="1" x14ac:dyDescent="0.25">
      <c r="A7" s="57"/>
      <c r="B7" s="58"/>
      <c r="C7" s="58"/>
    </row>
    <row r="8" spans="1:3" ht="13.25" customHeight="1" x14ac:dyDescent="0.25">
      <c r="A8" s="57"/>
      <c r="B8" s="58"/>
      <c r="C8" s="58"/>
    </row>
    <row r="9" spans="1:3" ht="13.25" customHeight="1" x14ac:dyDescent="0.25">
      <c r="A9" s="57"/>
      <c r="B9" s="58"/>
      <c r="C9" s="58"/>
    </row>
    <row r="10" spans="1:3" ht="13.25" customHeight="1" x14ac:dyDescent="0.25">
      <c r="A10" s="57"/>
      <c r="B10" s="58"/>
      <c r="C10" s="58"/>
    </row>
    <row r="11" spans="1:3" ht="13.25" customHeight="1" x14ac:dyDescent="0.25">
      <c r="A11" s="59"/>
      <c r="B11" s="58"/>
      <c r="C11" s="58"/>
    </row>
    <row r="12" spans="1:3" ht="13.25" customHeight="1" x14ac:dyDescent="0.25">
      <c r="A12" s="59"/>
      <c r="B12" s="58"/>
      <c r="C12" s="58"/>
    </row>
    <row r="13" spans="1:3" ht="13.25" customHeight="1" x14ac:dyDescent="0.25">
      <c r="A13" s="59"/>
      <c r="B13" s="58"/>
      <c r="C13" s="58"/>
    </row>
    <row r="14" spans="1:3" ht="13.25" customHeight="1" x14ac:dyDescent="0.25">
      <c r="A14" s="59"/>
      <c r="B14" s="58"/>
      <c r="C14" s="58"/>
    </row>
    <row r="15" spans="1:3" ht="13.25" customHeight="1" x14ac:dyDescent="0.25">
      <c r="A15" s="59"/>
      <c r="B15" s="58"/>
      <c r="C15" s="58"/>
    </row>
    <row r="16" spans="1:3" ht="13.25" customHeight="1" x14ac:dyDescent="0.25">
      <c r="A16" s="59"/>
      <c r="B16" s="58"/>
      <c r="C16" s="58"/>
    </row>
    <row r="17" spans="1:3" ht="13.25" customHeight="1" x14ac:dyDescent="0.25">
      <c r="A17" s="59"/>
      <c r="B17" s="58"/>
      <c r="C17" s="58"/>
    </row>
    <row r="18" spans="1:3" ht="13.25" customHeight="1" x14ac:dyDescent="0.25">
      <c r="A18" s="59"/>
      <c r="B18" s="58"/>
      <c r="C18" s="58"/>
    </row>
    <row r="19" spans="1:3" ht="13.25" customHeight="1" x14ac:dyDescent="0.25">
      <c r="A19" s="57"/>
      <c r="B19" s="58"/>
      <c r="C19" s="58"/>
    </row>
    <row r="20" spans="1:3" ht="13.25" customHeight="1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ht="13.25" customHeight="1" x14ac:dyDescent="0.25">
      <c r="A2" s="33" t="s">
        <v>171</v>
      </c>
    </row>
    <row r="3" spans="1:1" ht="13.25" customHeight="1" x14ac:dyDescent="0.25">
      <c r="A3" s="33" t="s">
        <v>181</v>
      </c>
    </row>
    <row r="4" spans="1:1" ht="13.25" customHeight="1" x14ac:dyDescent="0.25">
      <c r="A4" s="33" t="s">
        <v>185</v>
      </c>
    </row>
    <row r="5" spans="1:1" ht="13.25" customHeight="1" x14ac:dyDescent="0.25">
      <c r="A5" s="33" t="s">
        <v>194</v>
      </c>
    </row>
    <row r="6" spans="1:1" ht="13.25" customHeight="1" x14ac:dyDescent="0.25">
      <c r="A6" s="33" t="s">
        <v>195</v>
      </c>
    </row>
    <row r="7" spans="1:1" ht="13.25" customHeight="1" x14ac:dyDescent="0.25">
      <c r="A7" s="33" t="s">
        <v>196</v>
      </c>
    </row>
    <row r="8" spans="1:1" ht="13.25" customHeight="1" x14ac:dyDescent="0.25">
      <c r="A8" s="33" t="s">
        <v>197</v>
      </c>
    </row>
    <row r="9" spans="1:1" ht="13.25" customHeight="1" x14ac:dyDescent="0.25">
      <c r="A9" s="33" t="s">
        <v>198</v>
      </c>
    </row>
    <row r="10" spans="1:1" ht="13.25" customHeight="1" x14ac:dyDescent="0.25">
      <c r="A10" s="33"/>
    </row>
    <row r="11" spans="1:1" ht="13.25" customHeight="1" x14ac:dyDescent="0.25">
      <c r="A11" s="33"/>
    </row>
    <row r="12" spans="1:1" ht="13.25" customHeight="1" x14ac:dyDescent="0.25">
      <c r="A12" s="33"/>
    </row>
    <row r="13" spans="1:1" ht="13.25" customHeight="1" x14ac:dyDescent="0.25">
      <c r="A13" s="33"/>
    </row>
    <row r="14" spans="1:1" ht="13.25" customHeight="1" x14ac:dyDescent="0.25">
      <c r="A14" s="33"/>
    </row>
    <row r="15" spans="1:1" ht="13.25" customHeight="1" x14ac:dyDescent="0.25">
      <c r="A15" s="33"/>
    </row>
    <row r="16" spans="1:1" ht="13.25" customHeight="1" x14ac:dyDescent="0.25">
      <c r="A16" s="33"/>
    </row>
    <row r="17" spans="1:1" ht="13.25" customHeight="1" x14ac:dyDescent="0.25">
      <c r="A17" s="33"/>
    </row>
    <row r="18" spans="1:1" ht="13.25" customHeight="1" x14ac:dyDescent="0.25">
      <c r="A18" s="33"/>
    </row>
    <row r="19" spans="1:1" ht="13.25" customHeight="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2.4</v>
      </c>
      <c r="C2" s="21">
        <f>'Baseline year population inputs'!C52</f>
        <v>2.4</v>
      </c>
      <c r="D2" s="21">
        <f>'Baseline year population inputs'!C53</f>
        <v>2.4</v>
      </c>
      <c r="E2" s="21">
        <f>'Baseline year population inputs'!C54</f>
        <v>2.4</v>
      </c>
      <c r="F2" s="21">
        <f>'Baseline year population inputs'!C55</f>
        <v>2.4</v>
      </c>
    </row>
    <row r="3" spans="1:6" ht="15.75" customHeight="1" x14ac:dyDescent="0.25">
      <c r="A3" s="3" t="s">
        <v>204</v>
      </c>
      <c r="B3" s="21">
        <f>frac_mam_1month * 2.6</f>
        <v>0.17421317696571362</v>
      </c>
      <c r="C3" s="21">
        <f>frac_mam_1_5months * 2.6</f>
        <v>0.17421317696571362</v>
      </c>
      <c r="D3" s="21">
        <f>frac_mam_6_11months * 2.6</f>
        <v>0.17344126105308522</v>
      </c>
      <c r="E3" s="21">
        <f>frac_mam_12_23months * 2.6</f>
        <v>0.10721077695488941</v>
      </c>
      <c r="F3" s="21">
        <f>frac_mam_24_59months * 2.6</f>
        <v>7.440304309129718E-2</v>
      </c>
    </row>
    <row r="4" spans="1:6" ht="15.75" customHeight="1" x14ac:dyDescent="0.25">
      <c r="A4" s="3" t="s">
        <v>205</v>
      </c>
      <c r="B4" s="21">
        <f>frac_sam_1month * 2.6</f>
        <v>0.21761335879564297</v>
      </c>
      <c r="C4" s="21">
        <f>frac_sam_1_5months * 2.6</f>
        <v>0.21761335879564297</v>
      </c>
      <c r="D4" s="21">
        <f>frac_sam_6_11months * 2.6</f>
        <v>8.5564897209405896E-2</v>
      </c>
      <c r="E4" s="21">
        <f>frac_sam_12_23months * 2.6</f>
        <v>5.2959639206528603E-2</v>
      </c>
      <c r="F4" s="21">
        <f>frac_sam_24_59months * 2.6</f>
        <v>2.5706152990460383E-2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1.4999999999999999E-2</v>
      </c>
      <c r="E2" s="60">
        <f>food_insecure</f>
        <v>1.4999999999999999E-2</v>
      </c>
      <c r="F2" s="60">
        <f>food_insecure</f>
        <v>1.4999999999999999E-2</v>
      </c>
      <c r="G2" s="60">
        <f>food_insecure</f>
        <v>1.4999999999999999E-2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1.4999999999999999E-2</v>
      </c>
      <c r="F5" s="60">
        <f>food_insecure</f>
        <v>1.4999999999999999E-2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5.2000000000000011E-2</v>
      </c>
      <c r="D7" s="60">
        <f>diarrhoea_1_5mo*frac_diarrhea_severe</f>
        <v>5.2000000000000011E-2</v>
      </c>
      <c r="E7" s="60">
        <f>diarrhoea_6_11mo*frac_diarrhea_severe</f>
        <v>5.2000000000000011E-2</v>
      </c>
      <c r="F7" s="60">
        <f>diarrhoea_12_23mo*frac_diarrhea_severe</f>
        <v>5.2000000000000011E-2</v>
      </c>
      <c r="G7" s="60">
        <f>diarrhoea_24_59mo*frac_diarrhea_severe</f>
        <v>5.2000000000000011E-2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1.4999999999999999E-2</v>
      </c>
      <c r="F8" s="60">
        <f>food_insecure</f>
        <v>1.4999999999999999E-2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1.4999999999999999E-2</v>
      </c>
      <c r="F9" s="60">
        <f>food_insecure</f>
        <v>1.4999999999999999E-2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0.74199999999999999</v>
      </c>
      <c r="E10" s="60">
        <f>IF(ISBLANK(comm_deliv), frac_children_health_facility,1)</f>
        <v>0.74199999999999999</v>
      </c>
      <c r="F10" s="60">
        <f>IF(ISBLANK(comm_deliv), frac_children_health_facility,1)</f>
        <v>0.74199999999999999</v>
      </c>
      <c r="G10" s="60">
        <f>IF(ISBLANK(comm_deliv), frac_children_health_facility,1)</f>
        <v>0.74199999999999999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5.2000000000000011E-2</v>
      </c>
      <c r="D12" s="60">
        <f>diarrhoea_1_5mo*frac_diarrhea_severe</f>
        <v>5.2000000000000011E-2</v>
      </c>
      <c r="E12" s="60">
        <f>diarrhoea_6_11mo*frac_diarrhea_severe</f>
        <v>5.2000000000000011E-2</v>
      </c>
      <c r="F12" s="60">
        <f>diarrhoea_12_23mo*frac_diarrhea_severe</f>
        <v>5.2000000000000011E-2</v>
      </c>
      <c r="G12" s="60">
        <f>diarrhoea_24_59mo*frac_diarrhea_severe</f>
        <v>5.2000000000000011E-2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1.4999999999999999E-2</v>
      </c>
      <c r="I15" s="60">
        <f>food_insecure</f>
        <v>1.4999999999999999E-2</v>
      </c>
      <c r="J15" s="60">
        <f>food_insecure</f>
        <v>1.4999999999999999E-2</v>
      </c>
      <c r="K15" s="60">
        <f>food_insecure</f>
        <v>1.4999999999999999E-2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0.84900000000000009</v>
      </c>
      <c r="I18" s="60">
        <f>frac_PW_health_facility</f>
        <v>0.84900000000000009</v>
      </c>
      <c r="J18" s="60">
        <f>frac_PW_health_facility</f>
        <v>0.84900000000000009</v>
      </c>
      <c r="K18" s="60">
        <f>frac_PW_health_facility</f>
        <v>0.84900000000000009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0.154</v>
      </c>
      <c r="M24" s="60">
        <f>famplan_unmet_need</f>
        <v>0.154</v>
      </c>
      <c r="N24" s="60">
        <f>famplan_unmet_need</f>
        <v>0.154</v>
      </c>
      <c r="O24" s="60">
        <f>famplan_unmet_need</f>
        <v>0.154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0.14357459206771836</v>
      </c>
      <c r="M25" s="60">
        <f>(1-food_insecure)*(0.49)+food_insecure*(0.7)</f>
        <v>0.49314999999999998</v>
      </c>
      <c r="N25" s="60">
        <f>(1-food_insecure)*(0.49)+food_insecure*(0.7)</f>
        <v>0.49314999999999998</v>
      </c>
      <c r="O25" s="60">
        <f>(1-food_insecure)*(0.49)+food_insecure*(0.7)</f>
        <v>0.49314999999999998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6.1531968029022159E-2</v>
      </c>
      <c r="M26" s="60">
        <f>(1-food_insecure)*(0.21)+food_insecure*(0.3)</f>
        <v>0.21134999999999998</v>
      </c>
      <c r="N26" s="60">
        <f>(1-food_insecure)*(0.21)+food_insecure*(0.3)</f>
        <v>0.21134999999999998</v>
      </c>
      <c r="O26" s="60">
        <f>(1-food_insecure)*(0.21)+food_insecure*(0.3)</f>
        <v>0.21134999999999998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8.6031211509704511E-2</v>
      </c>
      <c r="M27" s="60">
        <f>(1-food_insecure)*(0.3)</f>
        <v>0.29549999999999998</v>
      </c>
      <c r="N27" s="60">
        <f>(1-food_insecure)*(0.3)</f>
        <v>0.29549999999999998</v>
      </c>
      <c r="O27" s="60">
        <f>(1-food_insecure)*(0.3)</f>
        <v>0.29549999999999998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0.70886222839355495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A12" sqref="A12:XFD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15" workbookViewId="0">
      <selection activeCell="E28" sqref="E28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ht="13.25" customHeight="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ht="13.25" customHeight="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ht="13.25" customHeight="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ht="13.25" customHeight="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ht="13.25" customHeight="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ht="13.25" customHeight="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ht="13.25" customHeight="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ht="13.25" customHeight="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ht="13.25" customHeight="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ht="13.25" customHeight="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ht="13.25" customHeight="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ht="13.25" customHeight="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ht="13.25" customHeight="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ht="13.25" customHeight="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ht="13.25" customHeight="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ht="13.25" customHeight="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ht="13.25" customHeight="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ht="13.25" customHeight="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ht="13.25" customHeight="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ht="13.25" customHeight="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ht="13.25" customHeight="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r5uzVyzuX2cUXRUCd1eCp2cRQdoXMaTi7+j4lrtBEgwzDwwg07iN9Zvo/tiwSsVCYAFkOMHpp89HQAzExnqtEg==" saltValue="Yl6vtKysPUoNlkWylvJDXA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ht="13.25" customHeight="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ht="13.25" customHeight="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ht="13.25" customHeight="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ht="13.25" customHeight="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ht="13.25" customHeight="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ht="13.25" customHeight="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ht="13.25" customHeight="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ht="13.25" customHeight="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ht="13.25" customHeight="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ht="13.25" customHeight="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ht="13.25" customHeight="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ht="13.25" customHeight="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ht="13.25" customHeight="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13" zoomScale="85" zoomScaleNormal="85" workbookViewId="0">
      <selection activeCell="E28" sqref="E28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ht="13.25" customHeight="1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ht="13.25" customHeight="1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ht="13.25" customHeight="1" x14ac:dyDescent="0.25">
      <c r="B5" s="103" t="s">
        <v>67</v>
      </c>
      <c r="C5" s="8" t="s">
        <v>145</v>
      </c>
      <c r="D5" s="88">
        <f>IFERROR((MIN(1,1.56*'Breastfeeding distribution'!$C$2)/(1-MIN(1,1.56*'Breastfeeding distribution'!$C$2))) /
('Breastfeeding distribution'!$C$2/(1-'Breastfeeding distribution'!$C$2)), 1.56)</f>
        <v>1.56</v>
      </c>
      <c r="E5" s="88">
        <v>1</v>
      </c>
      <c r="F5" s="88">
        <v>1</v>
      </c>
      <c r="G5" s="88">
        <v>1</v>
      </c>
      <c r="H5" s="88">
        <v>1</v>
      </c>
    </row>
    <row r="6" spans="1:10" ht="13.25" customHeight="1" x14ac:dyDescent="0.25">
      <c r="B6" s="104"/>
      <c r="C6" s="8" t="s">
        <v>146</v>
      </c>
      <c r="D6" s="88">
        <f>IFERROR((MIN(1,1.56*'Breastfeeding distribution'!$C$2)/(1-MIN(1,1.56*'Breastfeeding distribution'!$C$2))) /
('Breastfeeding distribution'!$C$2/(1-'Breastfeeding distribution'!$C$2)), 1.56)</f>
        <v>1.56</v>
      </c>
      <c r="E6" s="88">
        <v>1</v>
      </c>
      <c r="F6" s="88">
        <v>1</v>
      </c>
      <c r="G6" s="88">
        <v>1</v>
      </c>
      <c r="H6" s="88">
        <v>1</v>
      </c>
    </row>
    <row r="7" spans="1:10" ht="13.25" customHeight="1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ht="13.25" customHeight="1" x14ac:dyDescent="0.25">
      <c r="B8" s="103" t="s">
        <v>77</v>
      </c>
      <c r="C8" s="8" t="s">
        <v>145</v>
      </c>
      <c r="D8" s="88">
        <v>1</v>
      </c>
      <c r="E8" s="88">
        <f>IFERROR((MIN(1,1.56*'Breastfeeding distribution'!$D$2)/(1-MIN(1,1.56*'Breastfeeding distribution'!$D$2))) /
('Breastfeeding distribution'!$D$2/(1-'Breastfeeding distribution'!$D$2)), 1.56)</f>
        <v>2.774016974427989</v>
      </c>
      <c r="F8" s="88">
        <v>1</v>
      </c>
      <c r="G8" s="88">
        <v>1</v>
      </c>
      <c r="H8" s="88">
        <v>1</v>
      </c>
    </row>
    <row r="9" spans="1:10" ht="13.25" customHeight="1" x14ac:dyDescent="0.25">
      <c r="B9" s="104"/>
      <c r="C9" s="8" t="s">
        <v>146</v>
      </c>
      <c r="D9" s="88">
        <v>1</v>
      </c>
      <c r="E9" s="88">
        <f>IFERROR((MIN(1,1.56*'Breastfeeding distribution'!$D$2)/(1-MIN(1,1.56*'Breastfeeding distribution'!$D$2))) /
('Breastfeeding distribution'!$D$2/(1-'Breastfeeding distribution'!$D$2)), 1.56)</f>
        <v>2.774016974427989</v>
      </c>
      <c r="F9" s="88">
        <v>1</v>
      </c>
      <c r="G9" s="88">
        <v>1</v>
      </c>
      <c r="H9" s="88">
        <v>1</v>
      </c>
    </row>
    <row r="10" spans="1:10" ht="13.25" customHeight="1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ht="13.25" customHeight="1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ht="13.25" customHeight="1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ht="13.25" customHeight="1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ht="13.25" customHeight="1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ht="13.25" customHeight="1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ht="13.25" customHeight="1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ht="13.25" customHeight="1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ht="13.25" customHeight="1" x14ac:dyDescent="0.25">
      <c r="B20" s="104"/>
      <c r="C20" s="8" t="s">
        <v>146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ht="13.25" customHeight="1" x14ac:dyDescent="0.25">
      <c r="B21" s="104"/>
      <c r="C21" s="8" t="s">
        <v>147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ht="13.25" customHeight="1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ht="13.25" customHeight="1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ht="13.25" customHeight="1" x14ac:dyDescent="0.25">
      <c r="B24" s="104"/>
      <c r="C24" s="8" t="s">
        <v>147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ht="13.25" customHeight="1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ht="13.25" customHeight="1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f>IFERROR((MIN(1,1.37*'Breastfeeding distribution'!$C$2)/(1-MIN(1,1.37*'Breastfeeding distribution'!$C$2))) /
('Breastfeeding distribution'!$C$2/(1-'Breastfeeding distribution'!$C$2)), 1.37)</f>
        <v>18.973311200229883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f>IFERROR((MIN(1,1.37*'Breastfeeding distribution'!$C$2)/(1-MIN(1,1.37*'Breastfeeding distribution'!$C$2))) /
('Breastfeeding distribution'!$C$2/(1-'Breastfeeding distribution'!$C$2)), 1.37)</f>
        <v>18.973311200229883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f>IFERROR((MIN(1,1.37*'Breastfeeding distribution'!$D$2)/(1-MIN(1,1.37*'Breastfeeding distribution'!$D$2))) /
('Breastfeeding distribution'!$D$2/(1-'Breastfeeding distribution'!$D$2)), 1.37)</f>
        <v>1.9272812625891751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f>IFERROR((MIN(1,1.37*'Breastfeeding distribution'!$D$2)/(1-MIN(1,1.37*'Breastfeeding distribution'!$D$2))) /
('Breastfeeding distribution'!$D$2/(1-'Breastfeeding distribution'!$D$2)), 1.37)</f>
        <v>1.9272812625891751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f>IFERROR((MIN(1,1.77*'Breastfeeding distribution'!$C$2)/(1-MIN(1,1.77*'Breastfeeding distribution'!$C$2))) /
('Breastfeeding distribution'!$C$2/(1-'Breastfeeding distribution'!$C$2)), 1.77)</f>
        <v>1.77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f>IFERROR((MIN(1,1.77*'Breastfeeding distribution'!$C$2)/(1-MIN(1,1.77*'Breastfeeding distribution'!$C$2))) /
('Breastfeeding distribution'!$C$2/(1-'Breastfeeding distribution'!$C$2)), 1.77)</f>
        <v>1.77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f>IFERROR((MIN(1,1.77*'Breastfeeding distribution'!$D$2)/(1-MIN(1,1.77*'Breastfeeding distribution'!$D$2))) /
('Breastfeeding distribution'!$D$2/(1-'Breastfeeding distribution'!$D$2)), 1.77)</f>
        <v>4.4444791452108978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f>IFERROR((MIN(1,1.77*'Breastfeeding distribution'!$D$2)/(1-MIN(1,1.77*'Breastfeeding distribution'!$D$2))) /
('Breastfeeding distribution'!$D$2/(1-'Breastfeeding distribution'!$D$2)), 1.77)</f>
        <v>4.4444791452108978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1IUQIPGO8A+lS5t9zmQeExgWOE7Hq9s+LMwGp5ZzK7cP6BPM6Y+s1H4DuDLssE5RfO3cDfuZkDwFgb68EXGf1A==" saltValue="EhqwdEStb6jxlKMHBUWr7g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E28" sqref="E28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E28" sqref="E28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E28" sqref="E28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
/ (SUM('Nutritional status distribution'!$E$4:$E$5)/(1-SUM('Nutritional status distribution'!$E$4:$E$5))))</f>
        <v>0.59684822799037762</v>
      </c>
      <c r="F6" s="90">
        <f>IF(ISBLANK('Nutritional status distribution'!$F$4),0.64, (0.64*SUM('Nutritional status distribution'!$F$4:$F$5)/(1-0.64*SUM('Nutritional status distribution'!$F$4:$F$5)))/ (SUM('Nutritional status distribution'!$F$4:$F$5)/(1-SUM('Nutritional status distribution'!$F$4:$F$5))))</f>
        <v>0.53269886114961096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0.85929125115303917</v>
      </c>
      <c r="F7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0.8246316827132627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0.85929125115303917</v>
      </c>
      <c r="F8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0.8246316827132627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distribution'!E$4),0.44, (0.44*SUM('Nutritional status distribution'!E$4:E$5)/(1-0.44*SUM('Nutritional status distribution'!E$4:E$5)))/ (SUM('Nutritional status distribution'!E$4:E$5)/(1-SUM('Nutritional status distribution'!E$4:E$5))))</f>
        <v>0.39551779752084337</v>
      </c>
      <c r="F29" s="90">
        <f>IF(ISBLANK('Nutritional status distribution'!F$4),0.44, (0.44*SUM('Nutritional status distribution'!F$4:F$5)/(1-0.44*SUM('Nutritional status distribution'!F$4:F$5)))/ (SUM('Nutritional status distribution'!F$4:F$5)/(1-SUM('Nutritional status distribution'!F$4:F$5))))</f>
        <v>0.33502510639801408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0.82514277822815962</v>
      </c>
      <c r="F30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0.78418430561939734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0.82514277822815962</v>
      </c>
      <c r="F31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0.78418430561939734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distribution'!E$4),0.92, (0.92*SUM('Nutritional status distribution'!E$4:E$5)/(1-0.92*SUM('Nutritional status distribution'!E$4:E$5)))/ (SUM('Nutritional status distribution'!E$4:E$5)/(1-SUM('Nutritional status distribution'!E$4:E$5))))</f>
        <v>0.9054525158812966</v>
      </c>
      <c r="F52" s="90">
        <f>IF(ISBLANK('Nutritional status distribution'!F$4),0.92, (0.92*SUM('Nutritional status distribution'!F$4:F$5)/(1-0.92*SUM('Nutritional status distribution'!F$4:F$5)))/ (SUM('Nutritional status distribution'!F$4:F$5)/(1-SUM('Nutritional status distribution'!F$4:F$5))))</f>
        <v>0.88058327981933238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0.8938439042953128</v>
      </c>
      <c r="F53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0.86637183976958332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0.8938439042953128</v>
      </c>
      <c r="F54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0.86637183976958332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uxH3qxfpHv3MxEVFpMF959vuuHVMbjUY0YDJlIXIgHOAA25UaRTm/IIjRx7RzEUfWaTP3eP7cZpYIm+m6J8PbA==" saltValue="wm1A0TwV/0DyOIoqtNvf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E28" sqref="E28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lEvf/7Nn9p0s2t120JFgJzNA1BIMAO9h8EmTziKGX5ZA7K3Y+rQ77oXfzNqKwsdbYQwCY96ujjsdxuDmqt1luA==" saltValue="pZcegXbvW/wKpwHEQP8p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8" zoomScale="70" zoomScaleNormal="70" workbookViewId="0">
      <selection activeCell="E28" sqref="E28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>IF(ISBLANK('Nutritional status distribution'!E$14),0.72,(0.72*'Nutritional status distribution'!E$14/(1-0.72*'Nutritional status distribution'!E$14))
/ ('Nutritional status distribution'!E$14/(1-'Nutritional status distribution'!E$14)))</f>
        <v>0.17523472065084003</v>
      </c>
      <c r="F19" s="90">
        <f>IF(ISBLANK('Nutritional status distribution'!F$14),0.72,(0.72*'Nutritional status distribution'!F$14/(1-0.72*'Nutritional status distribution'!F$14))
/ ('Nutritional status distribution'!F$14/(1-'Nutritional status distribution'!F$14)))</f>
        <v>0.28654509226387609</v>
      </c>
      <c r="G19" s="90">
        <f>IF(ISBLANK('Nutritional status distribution'!G$14),0.72,(0.72*'Nutritional status distribution'!G$14/(1-0.72*'Nutritional status distribution'!G$14))
/ ('Nutritional status distribution'!G$14/(1-'Nutritional status distribution'!G$14)))</f>
        <v>0.28654509226387609</v>
      </c>
      <c r="H19" s="90">
        <f>IF(ISBLANK('Nutritional status distribution'!H$14),0.72,(0.72*'Nutritional status distribution'!H$14/(1-0.72*'Nutritional status distribution'!H$14))
/ ('Nutritional status distribution'!H$14/(1-'Nutritional status distribution'!H$14)))</f>
        <v>0.63343108504398815</v>
      </c>
      <c r="I19" s="90">
        <f>IF(ISBLANK('Nutritional status distribution'!I$14),0.72,(0.72*'Nutritional status distribution'!I$14/(1-0.72*'Nutritional status distribution'!I$14))
/ ('Nutritional status distribution'!I$14/(1-'Nutritional status distribution'!I$14)))</f>
        <v>0.63343108504398815</v>
      </c>
      <c r="J19" s="90">
        <f>IF(ISBLANK('Nutritional status distribution'!J$14),0.72,(0.72*'Nutritional status distribution'!J$14/(1-0.72*'Nutritional status distribution'!J$14))
/ ('Nutritional status distribution'!J$14/(1-'Nutritional status distribution'!J$14)))</f>
        <v>0.63343108504398815</v>
      </c>
      <c r="K19" s="90">
        <f>IF(ISBLANK('Nutritional status distribution'!K$14),0.72,(0.72*'Nutritional status distribution'!K$14/(1-0.72*'Nutritional status distribution'!K$14))
/ ('Nutritional status distribution'!K$14/(1-'Nutritional status distribution'!K$14)))</f>
        <v>0.63343108504398815</v>
      </c>
      <c r="L19" s="90">
        <f>IF(ISBLANK('Nutritional status distribution'!L$14),0.72,(0.72*'Nutritional status distribution'!L$14/(1-0.72*'Nutritional status distribution'!L$14))
/ ('Nutritional status distribution'!L$14/(1-'Nutritional status distribution'!L$14)))</f>
        <v>0.62312910520081832</v>
      </c>
      <c r="M19" s="90">
        <f>IF(ISBLANK('Nutritional status distribution'!M$14),0.72,(0.72*'Nutritional status distribution'!M$14/(1-0.72*'Nutritional status distribution'!M$14))
/ ('Nutritional status distribution'!M$14/(1-'Nutritional status distribution'!M$14)))</f>
        <v>0.62312910520081832</v>
      </c>
      <c r="N19" s="90">
        <f>IF(ISBLANK('Nutritional status distribution'!N$14),0.72,(0.72*'Nutritional status distribution'!N$14/(1-0.72*'Nutritional status distribution'!N$14))
/ ('Nutritional status distribution'!N$14/(1-'Nutritional status distribution'!N$14)))</f>
        <v>0.62312910520081832</v>
      </c>
      <c r="O19" s="90">
        <f>IF(ISBLANK('Nutritional status distribution'!O$14),0.72,(0.72*'Nutritional status distribution'!O$14/(1-0.72*'Nutritional status distribution'!O$14))
/ ('Nutritional status distribution'!O$14/(1-'Nutritional status distribution'!O$14)))</f>
        <v>0.62312910520081832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f>IF(ISBLANK('Nutritional status distribution'!E$14),0.8,(0.8*'Nutritional status distribution'!E$14/(1-0.8*'Nutritional status distribution'!E$14))
/ ('Nutritional status distribution'!E$14/(1-'Nutritional status distribution'!E$14)))</f>
        <v>0.24840451248279019</v>
      </c>
      <c r="F21" s="90">
        <f>IF(ISBLANK('Nutritional status distribution'!F$14),0.8,(0.8*'Nutritional status distribution'!F$14/(1-0.8*'Nutritional status distribution'!F$14))
/ ('Nutritional status distribution'!F$14/(1-'Nutritional status distribution'!F$14)))</f>
        <v>0.38452380507546996</v>
      </c>
      <c r="G21" s="90">
        <f>IF(ISBLANK('Nutritional status distribution'!G$14),0.8,(0.8*'Nutritional status distribution'!G$14/(1-0.8*'Nutritional status distribution'!G$14))
/ ('Nutritional status distribution'!G$14/(1-'Nutritional status distribution'!G$14)))</f>
        <v>0.38452380507546996</v>
      </c>
      <c r="H21" s="90">
        <f>IF(ISBLANK('Nutritional status distribution'!H$14),0.8,(0.8*'Nutritional status distribution'!H$14/(1-0.8*'Nutritional status distribution'!H$14))
/ ('Nutritional status distribution'!H$14/(1-'Nutritional status distribution'!H$14)))</f>
        <v>0.72885032537960937</v>
      </c>
      <c r="I21" s="90">
        <f>IF(ISBLANK('Nutritional status distribution'!I$14),0.8,(0.8*'Nutritional status distribution'!I$14/(1-0.8*'Nutritional status distribution'!I$14))
/ ('Nutritional status distribution'!I$14/(1-'Nutritional status distribution'!I$14)))</f>
        <v>0.72885032537960937</v>
      </c>
      <c r="J21" s="90">
        <f>IF(ISBLANK('Nutritional status distribution'!J$14),0.8,(0.8*'Nutritional status distribution'!J$14/(1-0.8*'Nutritional status distribution'!J$14))
/ ('Nutritional status distribution'!J$14/(1-'Nutritional status distribution'!J$14)))</f>
        <v>0.72885032537960937</v>
      </c>
      <c r="K21" s="90">
        <f>IF(ISBLANK('Nutritional status distribution'!K$14),0.8,(0.8*'Nutritional status distribution'!K$14/(1-0.8*'Nutritional status distribution'!K$14))
/ ('Nutritional status distribution'!K$14/(1-'Nutritional status distribution'!K$14)))</f>
        <v>0.72885032537960937</v>
      </c>
      <c r="L21" s="90">
        <f>IF(ISBLANK('Nutritional status distribution'!L$14),0.8,(0.8*'Nutritional status distribution'!L$14/(1-0.8*'Nutritional status distribution'!L$14))
/ ('Nutritional status distribution'!L$14/(1-'Nutritional status distribution'!L$14)))</f>
        <v>0.72004479283314682</v>
      </c>
      <c r="M21" s="90">
        <f>IF(ISBLANK('Nutritional status distribution'!M$14),0.8,(0.8*'Nutritional status distribution'!M$14/(1-0.8*'Nutritional status distribution'!M$14))
/ ('Nutritional status distribution'!M$14/(1-'Nutritional status distribution'!M$14)))</f>
        <v>0.72004479283314682</v>
      </c>
      <c r="N21" s="90">
        <f>IF(ISBLANK('Nutritional status distribution'!N$14),0.8,(0.8*'Nutritional status distribution'!N$14/(1-0.8*'Nutritional status distribution'!N$14))
/ ('Nutritional status distribution'!N$14/(1-'Nutritional status distribution'!N$14)))</f>
        <v>0.72004479283314682</v>
      </c>
      <c r="O21" s="90">
        <f>IF(ISBLANK('Nutritional status distribution'!O$14),0.8,(0.8*'Nutritional status distribution'!O$14/(1-0.8*'Nutritional status distribution'!O$14))
/ ('Nutritional status distribution'!O$14/(1-'Nutritional status distribution'!O$14)))</f>
        <v>0.72004479283314682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v>0.4</v>
      </c>
      <c r="D26" s="90">
        <v>0.4</v>
      </c>
      <c r="E26" s="90">
        <f t="shared" ref="E26:O26" si="0">IF(E3=1,1,E3*0.9)</f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175</v>
      </c>
      <c r="C27" s="90">
        <f t="shared" ref="C27:G33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2">IF(L4=1,1,L4*0.9)</f>
        <v>1</v>
      </c>
      <c r="M27" s="90">
        <f t="shared" si="2"/>
        <v>1</v>
      </c>
      <c r="N27" s="90">
        <f t="shared" si="2"/>
        <v>1</v>
      </c>
      <c r="O27" s="90">
        <f t="shared" si="2"/>
        <v>1</v>
      </c>
    </row>
    <row r="28" spans="1:15" x14ac:dyDescent="0.25">
      <c r="B28" s="11" t="s">
        <v>176</v>
      </c>
      <c r="C28" s="90">
        <f t="shared" si="1"/>
        <v>1</v>
      </c>
      <c r="D28" s="90">
        <f t="shared" si="1"/>
        <v>1</v>
      </c>
      <c r="E28" s="90">
        <f t="shared" si="1"/>
        <v>1</v>
      </c>
      <c r="F28" s="90">
        <f t="shared" si="1"/>
        <v>1</v>
      </c>
      <c r="G28" s="90">
        <f t="shared" si="1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177</v>
      </c>
      <c r="C29" s="90">
        <f t="shared" si="1"/>
        <v>1</v>
      </c>
      <c r="D29" s="90">
        <f t="shared" si="1"/>
        <v>1</v>
      </c>
      <c r="E29" s="90">
        <f t="shared" si="1"/>
        <v>1</v>
      </c>
      <c r="F29" s="90">
        <f t="shared" si="1"/>
        <v>1</v>
      </c>
      <c r="G29" s="90">
        <f t="shared" si="1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2"/>
        <v>1</v>
      </c>
      <c r="M29" s="90">
        <f t="shared" si="2"/>
        <v>1</v>
      </c>
      <c r="N29" s="90">
        <f t="shared" si="2"/>
        <v>1</v>
      </c>
      <c r="O29" s="90">
        <f t="shared" si="2"/>
        <v>1</v>
      </c>
    </row>
    <row r="30" spans="1:15" x14ac:dyDescent="0.25">
      <c r="B30" s="11" t="s">
        <v>178</v>
      </c>
      <c r="C30" s="90">
        <f t="shared" si="1"/>
        <v>1</v>
      </c>
      <c r="D30" s="90">
        <f t="shared" si="1"/>
        <v>1</v>
      </c>
      <c r="E30" s="90">
        <f t="shared" si="1"/>
        <v>1</v>
      </c>
      <c r="F30" s="90">
        <f t="shared" si="1"/>
        <v>1</v>
      </c>
      <c r="G30" s="90">
        <f t="shared" si="1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2"/>
        <v>1</v>
      </c>
      <c r="M30" s="90">
        <f t="shared" si="2"/>
        <v>1</v>
      </c>
      <c r="N30" s="90">
        <f t="shared" si="2"/>
        <v>1</v>
      </c>
      <c r="O30" s="90">
        <f t="shared" si="2"/>
        <v>1</v>
      </c>
    </row>
    <row r="31" spans="1:15" x14ac:dyDescent="0.25">
      <c r="B31" s="5" t="s">
        <v>179</v>
      </c>
      <c r="C31" s="90">
        <f t="shared" si="1"/>
        <v>1</v>
      </c>
      <c r="D31" s="90">
        <f t="shared" si="1"/>
        <v>1</v>
      </c>
      <c r="E31" s="90">
        <f t="shared" si="1"/>
        <v>1</v>
      </c>
      <c r="F31" s="90">
        <f t="shared" si="1"/>
        <v>1</v>
      </c>
      <c r="G31" s="90">
        <f t="shared" si="1"/>
        <v>1</v>
      </c>
      <c r="H31" s="90">
        <f t="shared" ref="H31:K34" si="3">IF(H8=1,1,H8*0.9)</f>
        <v>1</v>
      </c>
      <c r="I31" s="90">
        <f t="shared" si="3"/>
        <v>1</v>
      </c>
      <c r="J31" s="90">
        <f t="shared" si="3"/>
        <v>1</v>
      </c>
      <c r="K31" s="90">
        <f t="shared" si="3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180</v>
      </c>
      <c r="C32" s="90">
        <f t="shared" si="1"/>
        <v>1</v>
      </c>
      <c r="D32" s="90">
        <f t="shared" si="1"/>
        <v>1</v>
      </c>
      <c r="E32" s="90">
        <f t="shared" si="1"/>
        <v>1</v>
      </c>
      <c r="F32" s="90">
        <f t="shared" si="1"/>
        <v>1</v>
      </c>
      <c r="G32" s="90">
        <f t="shared" si="1"/>
        <v>1</v>
      </c>
      <c r="H32" s="90">
        <f t="shared" si="3"/>
        <v>1</v>
      </c>
      <c r="I32" s="90">
        <f t="shared" si="3"/>
        <v>1</v>
      </c>
      <c r="J32" s="90">
        <f t="shared" si="3"/>
        <v>1</v>
      </c>
      <c r="K32" s="90">
        <f t="shared" si="3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181</v>
      </c>
      <c r="C33" s="90">
        <f t="shared" si="1"/>
        <v>1</v>
      </c>
      <c r="D33" s="90">
        <f t="shared" si="1"/>
        <v>1</v>
      </c>
      <c r="E33" s="90">
        <f t="shared" si="1"/>
        <v>1</v>
      </c>
      <c r="F33" s="90">
        <f t="shared" si="1"/>
        <v>1</v>
      </c>
      <c r="G33" s="90">
        <f t="shared" si="1"/>
        <v>1</v>
      </c>
      <c r="H33" s="90">
        <f t="shared" si="3"/>
        <v>1</v>
      </c>
      <c r="I33" s="90">
        <f t="shared" si="3"/>
        <v>1</v>
      </c>
      <c r="J33" s="90">
        <f t="shared" si="3"/>
        <v>1</v>
      </c>
      <c r="K33" s="90">
        <f t="shared" si="3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184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3"/>
        <v>1</v>
      </c>
      <c r="I34" s="90">
        <f t="shared" si="3"/>
        <v>1</v>
      </c>
      <c r="J34" s="90">
        <f t="shared" si="3"/>
        <v>1</v>
      </c>
      <c r="K34" s="90">
        <f t="shared" si="3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185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188</v>
      </c>
      <c r="C36" s="90">
        <f t="shared" ref="C36:D38" si="4">IF(C13=1,1,C13*0.9)</f>
        <v>1</v>
      </c>
      <c r="D36" s="90">
        <f t="shared" si="4"/>
        <v>1</v>
      </c>
      <c r="E36" s="90">
        <v>0.62</v>
      </c>
      <c r="F36" s="90">
        <v>0.62</v>
      </c>
      <c r="G36" s="90">
        <v>0.62</v>
      </c>
      <c r="H36" s="90">
        <f t="shared" ref="H36:O36" si="5">IF(H13=1,1,H13*0.9)</f>
        <v>1</v>
      </c>
      <c r="I36" s="90">
        <f t="shared" si="5"/>
        <v>1</v>
      </c>
      <c r="J36" s="90">
        <f t="shared" si="5"/>
        <v>1</v>
      </c>
      <c r="K36" s="90">
        <f t="shared" si="5"/>
        <v>1</v>
      </c>
      <c r="L36" s="90">
        <f t="shared" si="5"/>
        <v>1</v>
      </c>
      <c r="M36" s="90">
        <f t="shared" si="5"/>
        <v>1</v>
      </c>
      <c r="N36" s="90">
        <f t="shared" si="5"/>
        <v>1</v>
      </c>
      <c r="O36" s="90">
        <f t="shared" si="5"/>
        <v>1</v>
      </c>
    </row>
    <row r="37" spans="1:15" x14ac:dyDescent="0.25">
      <c r="B37" s="11" t="s">
        <v>189</v>
      </c>
      <c r="C37" s="90">
        <f t="shared" si="4"/>
        <v>1</v>
      </c>
      <c r="D37" s="90">
        <f t="shared" si="4"/>
        <v>1</v>
      </c>
      <c r="E37" s="90">
        <f t="shared" ref="E37:K37" si="6">IF(E14=1,1,E14*0.9)</f>
        <v>1</v>
      </c>
      <c r="F37" s="90">
        <f t="shared" si="6"/>
        <v>1</v>
      </c>
      <c r="G37" s="90">
        <f t="shared" si="6"/>
        <v>1</v>
      </c>
      <c r="H37" s="90">
        <f t="shared" si="6"/>
        <v>1</v>
      </c>
      <c r="I37" s="90">
        <f t="shared" si="6"/>
        <v>1</v>
      </c>
      <c r="J37" s="90">
        <f t="shared" si="6"/>
        <v>1</v>
      </c>
      <c r="K37" s="90">
        <f t="shared" si="6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192</v>
      </c>
      <c r="C38" s="90">
        <f t="shared" si="4"/>
        <v>1</v>
      </c>
      <c r="D38" s="90">
        <f t="shared" si="4"/>
        <v>1</v>
      </c>
      <c r="E38" s="90">
        <v>0.3</v>
      </c>
      <c r="F38" s="90">
        <v>0.3</v>
      </c>
      <c r="G38" s="90">
        <f t="shared" ref="G38:O38" si="7">IF(G15=1,1,G15*0.9)</f>
        <v>1</v>
      </c>
      <c r="H38" s="90">
        <f t="shared" si="7"/>
        <v>1</v>
      </c>
      <c r="I38" s="90">
        <f t="shared" si="7"/>
        <v>1</v>
      </c>
      <c r="J38" s="90">
        <f t="shared" si="7"/>
        <v>1</v>
      </c>
      <c r="K38" s="90">
        <f t="shared" si="7"/>
        <v>1</v>
      </c>
      <c r="L38" s="90">
        <f t="shared" si="7"/>
        <v>1</v>
      </c>
      <c r="M38" s="90">
        <f t="shared" si="7"/>
        <v>1</v>
      </c>
      <c r="N38" s="90">
        <f t="shared" si="7"/>
        <v>1</v>
      </c>
      <c r="O38" s="90">
        <f t="shared" si="7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8">IF(C18=1,1,C18*0.9)</f>
        <v>1</v>
      </c>
      <c r="D41" s="90">
        <f t="shared" si="8"/>
        <v>1</v>
      </c>
      <c r="E41" s="90">
        <f t="shared" si="8"/>
        <v>1</v>
      </c>
      <c r="F41" s="90">
        <f t="shared" si="8"/>
        <v>1</v>
      </c>
      <c r="G41" s="90">
        <f t="shared" si="8"/>
        <v>1</v>
      </c>
      <c r="H41" s="90">
        <f t="shared" si="8"/>
        <v>1</v>
      </c>
      <c r="I41" s="90">
        <f t="shared" si="8"/>
        <v>1</v>
      </c>
      <c r="J41" s="90">
        <f t="shared" si="8"/>
        <v>1</v>
      </c>
      <c r="K41" s="90">
        <f t="shared" si="8"/>
        <v>1</v>
      </c>
      <c r="L41" s="90">
        <f t="shared" si="8"/>
        <v>1</v>
      </c>
      <c r="M41" s="90">
        <f t="shared" si="8"/>
        <v>1</v>
      </c>
      <c r="N41" s="90">
        <f t="shared" si="8"/>
        <v>1</v>
      </c>
      <c r="O41" s="90">
        <f t="shared" si="8"/>
        <v>1</v>
      </c>
    </row>
    <row r="42" spans="1:15" x14ac:dyDescent="0.25">
      <c r="B42" s="5" t="s">
        <v>173</v>
      </c>
      <c r="C42" s="90">
        <f t="shared" ref="C42:D44" si="9">IF(C19=1,1,C19*0.9)</f>
        <v>1</v>
      </c>
      <c r="D42" s="90">
        <f t="shared" si="9"/>
        <v>1</v>
      </c>
      <c r="E42" s="90">
        <f>IF(ISBLANK('Nutritional status distribution'!E$14),0.54,(0.54*'Nutritional status distribution'!E$14/(1-0.54*'Nutritional status distribution'!E$14))
/ ('Nutritional status distribution'!E$14/(1-'Nutritional status distribution'!E$14)))</f>
        <v>8.841917066185595E-2</v>
      </c>
      <c r="F42" s="90">
        <f>IF(ISBLANK('Nutritional status distribution'!F$14),0.54,(0.54*'Nutritional status distribution'!F$14/(1-0.54*'Nutritional status distribution'!F$14))
/ ('Nutritional status distribution'!F$14/(1-'Nutritional status distribution'!F$14)))</f>
        <v>0.15494358819364062</v>
      </c>
      <c r="G42" s="90">
        <f>IF(ISBLANK('Nutritional status distribution'!G$14),0.54,(0.54*'Nutritional status distribution'!G$14/(1-0.54*'Nutritional status distribution'!G$14))
/ ('Nutritional status distribution'!G$14/(1-'Nutritional status distribution'!G$14)))</f>
        <v>0.15494358819364062</v>
      </c>
      <c r="H42" s="90">
        <f>IF(ISBLANK('Nutritional status distribution'!H$14),0.54,(0.54*'Nutritional status distribution'!H$14/(1-0.54*'Nutritional status distribution'!H$14))
/ ('Nutritional status distribution'!H$14/(1-'Nutritional status distribution'!H$14)))</f>
        <v>0.44098775034026833</v>
      </c>
      <c r="I42" s="90">
        <f>IF(ISBLANK('Nutritional status distribution'!I$14),0.54,(0.54*'Nutritional status distribution'!I$14/(1-0.54*'Nutritional status distribution'!I$14))
/ ('Nutritional status distribution'!I$14/(1-'Nutritional status distribution'!I$14)))</f>
        <v>0.44098775034026833</v>
      </c>
      <c r="J42" s="90">
        <f>IF(ISBLANK('Nutritional status distribution'!J$14),0.54,(0.54*'Nutritional status distribution'!J$14/(1-0.54*'Nutritional status distribution'!J$14))
/ ('Nutritional status distribution'!J$14/(1-'Nutritional status distribution'!J$14)))</f>
        <v>0.44098775034026833</v>
      </c>
      <c r="K42" s="90">
        <f>IF(ISBLANK('Nutritional status distribution'!K$14),0.54,(0.54*'Nutritional status distribution'!K$14/(1-0.54*'Nutritional status distribution'!K$14))
/ ('Nutritional status distribution'!K$14/(1-'Nutritional status distribution'!K$14)))</f>
        <v>0.44098775034026833</v>
      </c>
      <c r="L42" s="90">
        <f>IF(ISBLANK('Nutritional status distribution'!L$14),0.54,(0.54*'Nutritional status distribution'!L$14/(1-0.54*'Nutritional status distribution'!L$14))
/ ('Nutritional status distribution'!L$14/(1-'Nutritional status distribution'!L$14)))</f>
        <v>0.43014295978791411</v>
      </c>
      <c r="M42" s="90">
        <f>IF(ISBLANK('Nutritional status distribution'!M$14),0.54,(0.54*'Nutritional status distribution'!M$14/(1-0.54*'Nutritional status distribution'!M$14))
/ ('Nutritional status distribution'!M$14/(1-'Nutritional status distribution'!M$14)))</f>
        <v>0.43014295978791411</v>
      </c>
      <c r="N42" s="90">
        <f>IF(ISBLANK('Nutritional status distribution'!N$14),0.54,(0.54*'Nutritional status distribution'!N$14/(1-0.54*'Nutritional status distribution'!N$14))
/ ('Nutritional status distribution'!N$14/(1-'Nutritional status distribution'!N$14)))</f>
        <v>0.43014295978791411</v>
      </c>
      <c r="O42" s="90">
        <f>IF(ISBLANK('Nutritional status distribution'!O$14),0.54,(0.54*'Nutritional status distribution'!O$14/(1-0.54*'Nutritional status distribution'!O$14))
/ ('Nutritional status distribution'!O$14/(1-'Nutritional status distribution'!O$14)))</f>
        <v>0.43014295978791411</v>
      </c>
    </row>
    <row r="43" spans="1:15" x14ac:dyDescent="0.25">
      <c r="B43" s="5" t="s">
        <v>174</v>
      </c>
      <c r="C43" s="90">
        <f t="shared" si="9"/>
        <v>1</v>
      </c>
      <c r="D43" s="90">
        <f t="shared" si="9"/>
        <v>1</v>
      </c>
      <c r="E43" s="90">
        <f t="shared" ref="E43:O43" si="10">IF(E20=1,1,E20*0.9)</f>
        <v>1</v>
      </c>
      <c r="F43" s="90">
        <f t="shared" si="10"/>
        <v>1</v>
      </c>
      <c r="G43" s="90">
        <f t="shared" si="10"/>
        <v>1</v>
      </c>
      <c r="H43" s="90">
        <f t="shared" si="10"/>
        <v>1</v>
      </c>
      <c r="I43" s="90">
        <f t="shared" si="10"/>
        <v>1</v>
      </c>
      <c r="J43" s="90">
        <f t="shared" si="10"/>
        <v>1</v>
      </c>
      <c r="K43" s="90">
        <f t="shared" si="10"/>
        <v>1</v>
      </c>
      <c r="L43" s="90">
        <f t="shared" si="10"/>
        <v>1</v>
      </c>
      <c r="M43" s="90">
        <f t="shared" si="10"/>
        <v>1</v>
      </c>
      <c r="N43" s="90">
        <f t="shared" si="10"/>
        <v>1</v>
      </c>
      <c r="O43" s="90">
        <f t="shared" si="10"/>
        <v>1</v>
      </c>
    </row>
    <row r="44" spans="1:15" x14ac:dyDescent="0.25">
      <c r="B44" s="5" t="s">
        <v>182</v>
      </c>
      <c r="C44" s="90">
        <f t="shared" si="9"/>
        <v>1</v>
      </c>
      <c r="D44" s="90">
        <f t="shared" si="9"/>
        <v>1</v>
      </c>
      <c r="E44" s="90">
        <f>IF(ISBLANK('Nutritional status distribution'!E$14),0.7,(0.7*'Nutritional status distribution'!E$14/(1-0.7*'Nutritional status distribution'!E$14))
/ ('Nutritional status distribution'!E$14/(1-'Nutritional status distribution'!E$14)))</f>
        <v>0.16163183065475009</v>
      </c>
      <c r="F44" s="90">
        <f>IF(ISBLANK('Nutritional status distribution'!F$14),0.7,(0.7*'Nutritional status distribution'!F$14/(1-0.7*'Nutritional status distribution'!F$14))
/ ('Nutritional status distribution'!F$14/(1-'Nutritional status distribution'!F$14)))</f>
        <v>0.26709981912032249</v>
      </c>
      <c r="G44" s="90">
        <f>IF(ISBLANK('Nutritional status distribution'!G$14),0.7,(0.7*'Nutritional status distribution'!G$14/(1-0.7*'Nutritional status distribution'!G$14))
/ ('Nutritional status distribution'!G$14/(1-'Nutritional status distribution'!G$14)))</f>
        <v>0.26709981912032249</v>
      </c>
      <c r="H44" s="90">
        <f>IF(ISBLANK('Nutritional status distribution'!H$14),0.7,(0.7*'Nutritional status distribution'!H$14/(1-0.7*'Nutritional status distribution'!H$14))
/ ('Nutritional status distribution'!H$14/(1-'Nutritional status distribution'!H$14)))</f>
        <v>0.61059190031152644</v>
      </c>
      <c r="I44" s="90">
        <f>IF(ISBLANK('Nutritional status distribution'!I$14),0.7,(0.7*'Nutritional status distribution'!I$14/(1-0.7*'Nutritional status distribution'!I$14))
/ ('Nutritional status distribution'!I$14/(1-'Nutritional status distribution'!I$14)))</f>
        <v>0.61059190031152644</v>
      </c>
      <c r="J44" s="90">
        <f>IF(ISBLANK('Nutritional status distribution'!J$14),0.7,(0.7*'Nutritional status distribution'!J$14/(1-0.7*'Nutritional status distribution'!J$14))
/ ('Nutritional status distribution'!J$14/(1-'Nutritional status distribution'!J$14)))</f>
        <v>0.61059190031152644</v>
      </c>
      <c r="K44" s="90">
        <f>IF(ISBLANK('Nutritional status distribution'!K$14),0.7,(0.7*'Nutritional status distribution'!K$14/(1-0.7*'Nutritional status distribution'!K$14))
/ ('Nutritional status distribution'!K$14/(1-'Nutritional status distribution'!K$14)))</f>
        <v>0.61059190031152644</v>
      </c>
      <c r="L44" s="90">
        <f>IF(ISBLANK('Nutritional status distribution'!L$14),0.7,(0.7*'Nutritional status distribution'!L$14/(1-0.7*'Nutritional status distribution'!L$14))
/ ('Nutritional status distribution'!L$14/(1-'Nutritional status distribution'!L$14)))</f>
        <v>0.6000533262231702</v>
      </c>
      <c r="M44" s="90">
        <f>IF(ISBLANK('Nutritional status distribution'!M$14),0.7,(0.7*'Nutritional status distribution'!M$14/(1-0.7*'Nutritional status distribution'!M$14))
/ ('Nutritional status distribution'!M$14/(1-'Nutritional status distribution'!M$14)))</f>
        <v>0.6000533262231702</v>
      </c>
      <c r="N44" s="90">
        <f>IF(ISBLANK('Nutritional status distribution'!N$14),0.7,(0.7*'Nutritional status distribution'!N$14/(1-0.7*'Nutritional status distribution'!N$14))
/ ('Nutritional status distribution'!N$14/(1-'Nutritional status distribution'!N$14)))</f>
        <v>0.6000533262231702</v>
      </c>
      <c r="O44" s="90">
        <f>IF(ISBLANK('Nutritional status distribution'!O$14),0.7,(0.7*'Nutritional status distribution'!O$14/(1-0.7*'Nutritional status distribution'!O$14))
/ ('Nutritional status distribution'!O$14/(1-'Nutritional status distribution'!O$14)))</f>
        <v>0.6000533262231702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v>0.7</v>
      </c>
      <c r="D49" s="90">
        <v>0.7</v>
      </c>
      <c r="E49" s="90">
        <f t="shared" ref="E49:O49" si="11">IF(E3=1,1,E3*1.05)</f>
        <v>1</v>
      </c>
      <c r="F49" s="90">
        <f t="shared" si="11"/>
        <v>1</v>
      </c>
      <c r="G49" s="90">
        <f t="shared" si="11"/>
        <v>1</v>
      </c>
      <c r="H49" s="90">
        <f t="shared" si="11"/>
        <v>1</v>
      </c>
      <c r="I49" s="90">
        <f t="shared" si="11"/>
        <v>1</v>
      </c>
      <c r="J49" s="90">
        <f t="shared" si="11"/>
        <v>1</v>
      </c>
      <c r="K49" s="90">
        <f t="shared" si="11"/>
        <v>1</v>
      </c>
      <c r="L49" s="90">
        <f t="shared" si="11"/>
        <v>1</v>
      </c>
      <c r="M49" s="90">
        <f t="shared" si="11"/>
        <v>1</v>
      </c>
      <c r="N49" s="90">
        <f t="shared" si="11"/>
        <v>1</v>
      </c>
      <c r="O49" s="90">
        <f t="shared" si="11"/>
        <v>1</v>
      </c>
    </row>
    <row r="50" spans="1:15" x14ac:dyDescent="0.25">
      <c r="B50" s="11" t="s">
        <v>175</v>
      </c>
      <c r="C50" s="90">
        <f t="shared" ref="C50:G56" si="12">IF(C4=1,1,C4*1.05)</f>
        <v>1</v>
      </c>
      <c r="D50" s="90">
        <f t="shared" si="12"/>
        <v>1</v>
      </c>
      <c r="E50" s="90">
        <f t="shared" si="12"/>
        <v>1</v>
      </c>
      <c r="F50" s="90">
        <f t="shared" si="12"/>
        <v>1</v>
      </c>
      <c r="G50" s="90">
        <f t="shared" si="12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3">IF(L4=1,1,L4*1.05)</f>
        <v>1</v>
      </c>
      <c r="M50" s="90">
        <f t="shared" si="13"/>
        <v>1</v>
      </c>
      <c r="N50" s="90">
        <f t="shared" si="13"/>
        <v>1</v>
      </c>
      <c r="O50" s="90">
        <f t="shared" si="13"/>
        <v>1</v>
      </c>
    </row>
    <row r="51" spans="1:15" x14ac:dyDescent="0.25">
      <c r="B51" s="11" t="s">
        <v>176</v>
      </c>
      <c r="C51" s="90">
        <f t="shared" si="12"/>
        <v>1</v>
      </c>
      <c r="D51" s="90">
        <f t="shared" si="12"/>
        <v>1</v>
      </c>
      <c r="E51" s="90">
        <f t="shared" si="12"/>
        <v>1</v>
      </c>
      <c r="F51" s="90">
        <f t="shared" si="12"/>
        <v>1</v>
      </c>
      <c r="G51" s="90">
        <f t="shared" si="12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3"/>
        <v>1</v>
      </c>
      <c r="M51" s="90">
        <f t="shared" si="13"/>
        <v>1</v>
      </c>
      <c r="N51" s="90">
        <f t="shared" si="13"/>
        <v>1</v>
      </c>
      <c r="O51" s="90">
        <f t="shared" si="13"/>
        <v>1</v>
      </c>
    </row>
    <row r="52" spans="1:15" x14ac:dyDescent="0.25">
      <c r="B52" s="11" t="s">
        <v>177</v>
      </c>
      <c r="C52" s="90">
        <f t="shared" si="12"/>
        <v>1</v>
      </c>
      <c r="D52" s="90">
        <f t="shared" si="12"/>
        <v>1</v>
      </c>
      <c r="E52" s="90">
        <f t="shared" si="12"/>
        <v>1</v>
      </c>
      <c r="F52" s="90">
        <f t="shared" si="12"/>
        <v>1</v>
      </c>
      <c r="G52" s="90">
        <f t="shared" si="12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3"/>
        <v>1</v>
      </c>
      <c r="M52" s="90">
        <f t="shared" si="13"/>
        <v>1</v>
      </c>
      <c r="N52" s="90">
        <f t="shared" si="13"/>
        <v>1</v>
      </c>
      <c r="O52" s="90">
        <f t="shared" si="13"/>
        <v>1</v>
      </c>
    </row>
    <row r="53" spans="1:15" x14ac:dyDescent="0.25">
      <c r="B53" s="11" t="s">
        <v>178</v>
      </c>
      <c r="C53" s="90">
        <f t="shared" si="12"/>
        <v>1</v>
      </c>
      <c r="D53" s="90">
        <f t="shared" si="12"/>
        <v>1</v>
      </c>
      <c r="E53" s="90">
        <f t="shared" si="12"/>
        <v>1</v>
      </c>
      <c r="F53" s="90">
        <f t="shared" si="12"/>
        <v>1</v>
      </c>
      <c r="G53" s="90">
        <f t="shared" si="12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3"/>
        <v>1</v>
      </c>
      <c r="M53" s="90">
        <f t="shared" si="13"/>
        <v>1</v>
      </c>
      <c r="N53" s="90">
        <f t="shared" si="13"/>
        <v>1</v>
      </c>
      <c r="O53" s="90">
        <f t="shared" si="13"/>
        <v>1</v>
      </c>
    </row>
    <row r="54" spans="1:15" x14ac:dyDescent="0.25">
      <c r="B54" s="5" t="s">
        <v>179</v>
      </c>
      <c r="C54" s="90">
        <f t="shared" si="12"/>
        <v>1</v>
      </c>
      <c r="D54" s="90">
        <f t="shared" si="12"/>
        <v>1</v>
      </c>
      <c r="E54" s="90">
        <f t="shared" si="12"/>
        <v>1</v>
      </c>
      <c r="F54" s="90">
        <f t="shared" si="12"/>
        <v>1</v>
      </c>
      <c r="G54" s="90">
        <f t="shared" si="12"/>
        <v>1</v>
      </c>
      <c r="H54" s="90">
        <f t="shared" ref="H54:K57" si="14">IF(H8=1,1,H8*1.05)</f>
        <v>1</v>
      </c>
      <c r="I54" s="90">
        <f t="shared" si="14"/>
        <v>1</v>
      </c>
      <c r="J54" s="90">
        <f t="shared" si="14"/>
        <v>1</v>
      </c>
      <c r="K54" s="90">
        <f t="shared" si="14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180</v>
      </c>
      <c r="C55" s="90">
        <f t="shared" si="12"/>
        <v>1</v>
      </c>
      <c r="D55" s="90">
        <f t="shared" si="12"/>
        <v>1</v>
      </c>
      <c r="E55" s="90">
        <f t="shared" si="12"/>
        <v>1</v>
      </c>
      <c r="F55" s="90">
        <f t="shared" si="12"/>
        <v>1</v>
      </c>
      <c r="G55" s="90">
        <f t="shared" si="12"/>
        <v>1</v>
      </c>
      <c r="H55" s="90">
        <f t="shared" si="14"/>
        <v>1</v>
      </c>
      <c r="I55" s="90">
        <f t="shared" si="14"/>
        <v>1</v>
      </c>
      <c r="J55" s="90">
        <f t="shared" si="14"/>
        <v>1</v>
      </c>
      <c r="K55" s="90">
        <f t="shared" si="14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181</v>
      </c>
      <c r="C56" s="90">
        <f t="shared" si="12"/>
        <v>1</v>
      </c>
      <c r="D56" s="90">
        <f t="shared" si="12"/>
        <v>1</v>
      </c>
      <c r="E56" s="90">
        <f t="shared" si="12"/>
        <v>1</v>
      </c>
      <c r="F56" s="90">
        <f t="shared" si="12"/>
        <v>1</v>
      </c>
      <c r="G56" s="90">
        <f t="shared" si="12"/>
        <v>1</v>
      </c>
      <c r="H56" s="90">
        <f t="shared" si="14"/>
        <v>1</v>
      </c>
      <c r="I56" s="90">
        <f t="shared" si="14"/>
        <v>1</v>
      </c>
      <c r="J56" s="90">
        <f t="shared" si="14"/>
        <v>1</v>
      </c>
      <c r="K56" s="90">
        <f t="shared" si="14"/>
        <v>1</v>
      </c>
      <c r="L56" s="90">
        <v>0.93</v>
      </c>
      <c r="M56" s="90">
        <v>0.93</v>
      </c>
      <c r="N56" s="90">
        <v>0.93</v>
      </c>
      <c r="O56" s="90">
        <v>0.93</v>
      </c>
    </row>
    <row r="57" spans="1:15" x14ac:dyDescent="0.25">
      <c r="B57" s="5" t="s">
        <v>184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4"/>
        <v>1</v>
      </c>
      <c r="I57" s="90">
        <f t="shared" si="14"/>
        <v>1</v>
      </c>
      <c r="J57" s="90">
        <f t="shared" si="14"/>
        <v>1</v>
      </c>
      <c r="K57" s="90">
        <f t="shared" si="14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185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188</v>
      </c>
      <c r="C59" s="90">
        <f t="shared" ref="C59:D61" si="15">IF(C13=1,1,C13*1.05)</f>
        <v>1</v>
      </c>
      <c r="D59" s="90">
        <f t="shared" si="15"/>
        <v>1</v>
      </c>
      <c r="E59" s="90">
        <v>0.77</v>
      </c>
      <c r="F59" s="90">
        <v>0.77</v>
      </c>
      <c r="G59" s="90">
        <v>0.77</v>
      </c>
      <c r="H59" s="90">
        <f t="shared" ref="H59:O59" si="16">IF(H13=1,1,H13*1.05)</f>
        <v>1</v>
      </c>
      <c r="I59" s="90">
        <f t="shared" si="16"/>
        <v>1</v>
      </c>
      <c r="J59" s="90">
        <f t="shared" si="16"/>
        <v>1</v>
      </c>
      <c r="K59" s="90">
        <f t="shared" si="16"/>
        <v>1</v>
      </c>
      <c r="L59" s="90">
        <f t="shared" si="16"/>
        <v>1</v>
      </c>
      <c r="M59" s="90">
        <f t="shared" si="16"/>
        <v>1</v>
      </c>
      <c r="N59" s="90">
        <f t="shared" si="16"/>
        <v>1</v>
      </c>
      <c r="O59" s="90">
        <f t="shared" si="16"/>
        <v>1</v>
      </c>
    </row>
    <row r="60" spans="1:15" x14ac:dyDescent="0.25">
      <c r="B60" s="11" t="s">
        <v>189</v>
      </c>
      <c r="C60" s="90">
        <f t="shared" si="15"/>
        <v>1</v>
      </c>
      <c r="D60" s="90">
        <f t="shared" si="15"/>
        <v>1</v>
      </c>
      <c r="E60" s="90">
        <f t="shared" ref="E60:K60" si="17">IF(E14=1,1,E14*1.05)</f>
        <v>1</v>
      </c>
      <c r="F60" s="90">
        <f t="shared" si="17"/>
        <v>1</v>
      </c>
      <c r="G60" s="90">
        <f t="shared" si="17"/>
        <v>1</v>
      </c>
      <c r="H60" s="90">
        <f t="shared" si="17"/>
        <v>1</v>
      </c>
      <c r="I60" s="90">
        <f t="shared" si="17"/>
        <v>1</v>
      </c>
      <c r="J60" s="90">
        <f t="shared" si="17"/>
        <v>1</v>
      </c>
      <c r="K60" s="90">
        <f t="shared" si="17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192</v>
      </c>
      <c r="C61" s="90">
        <f t="shared" si="15"/>
        <v>1</v>
      </c>
      <c r="D61" s="90">
        <f t="shared" si="15"/>
        <v>1</v>
      </c>
      <c r="E61" s="90">
        <v>0.44</v>
      </c>
      <c r="F61" s="90">
        <v>0.44</v>
      </c>
      <c r="G61" s="90">
        <f t="shared" ref="G61:O61" si="18">IF(G15=1,1,G15*1.05)</f>
        <v>1</v>
      </c>
      <c r="H61" s="90">
        <f t="shared" si="18"/>
        <v>1</v>
      </c>
      <c r="I61" s="90">
        <f t="shared" si="18"/>
        <v>1</v>
      </c>
      <c r="J61" s="90">
        <f t="shared" si="18"/>
        <v>1</v>
      </c>
      <c r="K61" s="90">
        <f t="shared" si="18"/>
        <v>1</v>
      </c>
      <c r="L61" s="90">
        <f t="shared" si="18"/>
        <v>1</v>
      </c>
      <c r="M61" s="90">
        <f t="shared" si="18"/>
        <v>1</v>
      </c>
      <c r="N61" s="90">
        <f t="shared" si="18"/>
        <v>1</v>
      </c>
      <c r="O61" s="90">
        <f t="shared" si="18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19">IF(C18=1,1,C18*1.05)</f>
        <v>1</v>
      </c>
      <c r="D64" s="90">
        <f t="shared" si="19"/>
        <v>1</v>
      </c>
      <c r="E64" s="90">
        <f t="shared" si="19"/>
        <v>1</v>
      </c>
      <c r="F64" s="90">
        <f t="shared" si="19"/>
        <v>1</v>
      </c>
      <c r="G64" s="90">
        <f t="shared" si="19"/>
        <v>1</v>
      </c>
      <c r="H64" s="90">
        <f t="shared" si="19"/>
        <v>1</v>
      </c>
      <c r="I64" s="90">
        <f t="shared" si="19"/>
        <v>1</v>
      </c>
      <c r="J64" s="90">
        <f t="shared" si="19"/>
        <v>1</v>
      </c>
      <c r="K64" s="90">
        <f t="shared" si="19"/>
        <v>1</v>
      </c>
      <c r="L64" s="90">
        <f t="shared" si="19"/>
        <v>1</v>
      </c>
      <c r="M64" s="90">
        <f t="shared" si="19"/>
        <v>1</v>
      </c>
      <c r="N64" s="90">
        <f t="shared" si="19"/>
        <v>1</v>
      </c>
      <c r="O64" s="90">
        <f t="shared" si="19"/>
        <v>1</v>
      </c>
    </row>
    <row r="65" spans="2:15" x14ac:dyDescent="0.25">
      <c r="B65" s="5" t="s">
        <v>173</v>
      </c>
      <c r="C65" s="90">
        <f t="shared" ref="C65:D67" si="20">IF(C19=1,1,C19*1.05)</f>
        <v>1</v>
      </c>
      <c r="D65" s="90">
        <f t="shared" si="20"/>
        <v>1</v>
      </c>
      <c r="E65" s="90">
        <f>IF(ISBLANK('Nutritional status distribution'!E$14),0.97,(0.97*'Nutritional status distribution'!E$14/(1-0.97*'Nutritional status distribution'!E$14))
/ ('Nutritional status distribution'!E$14/(1-'Nutritional status distribution'!E$14)))</f>
        <v>0.72763660741012348</v>
      </c>
      <c r="F65" s="90">
        <f>IF(ISBLANK('Nutritional status distribution'!F$14),0.97,(0.97*'Nutritional status distribution'!F$14/(1-0.97*'Nutritional status distribution'!F$14))
/ ('Nutritional status distribution'!F$14/(1-'Nutritional status distribution'!F$14)))</f>
        <v>0.83471426409122396</v>
      </c>
      <c r="G65" s="90">
        <f>IF(ISBLANK('Nutritional status distribution'!G$14),0.97,(0.97*'Nutritional status distribution'!G$14/(1-0.97*'Nutritional status distribution'!G$14))
/ ('Nutritional status distribution'!G$14/(1-'Nutritional status distribution'!G$14)))</f>
        <v>0.83471426409122396</v>
      </c>
      <c r="H65" s="90">
        <f>IF(ISBLANK('Nutritional status distribution'!H$14),0.97,(0.97*'Nutritional status distribution'!H$14/(1-0.97*'Nutritional status distribution'!H$14))
/ ('Nutritional status distribution'!H$14/(1-'Nutritional status distribution'!H$14)))</f>
        <v>0.95600140795494526</v>
      </c>
      <c r="I65" s="90">
        <f>IF(ISBLANK('Nutritional status distribution'!I$14),0.97,(0.97*'Nutritional status distribution'!I$14/(1-0.97*'Nutritional status distribution'!I$14))
/ ('Nutritional status distribution'!I$14/(1-'Nutritional status distribution'!I$14)))</f>
        <v>0.95600140795494526</v>
      </c>
      <c r="J65" s="90">
        <f>IF(ISBLANK('Nutritional status distribution'!J$14),0.97,(0.97*'Nutritional status distribution'!J$14/(1-0.97*'Nutritional status distribution'!J$14))
/ ('Nutritional status distribution'!J$14/(1-'Nutritional status distribution'!J$14)))</f>
        <v>0.95600140795494526</v>
      </c>
      <c r="K65" s="90">
        <f>IF(ISBLANK('Nutritional status distribution'!K$14),0.97,(0.97*'Nutritional status distribution'!K$14/(1-0.97*'Nutritional status distribution'!K$14))
/ ('Nutritional status distribution'!K$14/(1-'Nutritional status distribution'!K$14)))</f>
        <v>0.95600140795494526</v>
      </c>
      <c r="L65" s="90">
        <f>IF(ISBLANK('Nutritional status distribution'!L$14),0.97,(0.97*'Nutritional status distribution'!L$14/(1-0.97*'Nutritional status distribution'!L$14))
/ ('Nutritional status distribution'!L$14/(1-'Nutritional status distribution'!L$14)))</f>
        <v>0.95410809074360181</v>
      </c>
      <c r="M65" s="90">
        <f>IF(ISBLANK('Nutritional status distribution'!M$14),0.97,(0.97*'Nutritional status distribution'!M$14/(1-0.97*'Nutritional status distribution'!M$14))
/ ('Nutritional status distribution'!M$14/(1-'Nutritional status distribution'!M$14)))</f>
        <v>0.95410809074360181</v>
      </c>
      <c r="N65" s="90">
        <f>IF(ISBLANK('Nutritional status distribution'!N$14),0.97,(0.97*'Nutritional status distribution'!N$14/(1-0.97*'Nutritional status distribution'!N$14))
/ ('Nutritional status distribution'!N$14/(1-'Nutritional status distribution'!N$14)))</f>
        <v>0.95410809074360181</v>
      </c>
      <c r="O65" s="90">
        <f>IF(ISBLANK('Nutritional status distribution'!O$14),0.97,(0.97*'Nutritional status distribution'!O$14/(1-0.97*'Nutritional status distribution'!O$14))
/ ('Nutritional status distribution'!O$14/(1-'Nutritional status distribution'!O$14)))</f>
        <v>0.95410809074360181</v>
      </c>
    </row>
    <row r="66" spans="2:15" x14ac:dyDescent="0.25">
      <c r="B66" s="5" t="s">
        <v>174</v>
      </c>
      <c r="C66" s="90">
        <f t="shared" si="20"/>
        <v>1</v>
      </c>
      <c r="D66" s="90">
        <f t="shared" si="20"/>
        <v>1</v>
      </c>
      <c r="E66" s="90">
        <f t="shared" ref="E66:O66" si="21">IF(E20=1,1,E20*1.05)</f>
        <v>1</v>
      </c>
      <c r="F66" s="90">
        <f t="shared" si="21"/>
        <v>1</v>
      </c>
      <c r="G66" s="90">
        <f t="shared" si="21"/>
        <v>1</v>
      </c>
      <c r="H66" s="90">
        <f t="shared" si="21"/>
        <v>1</v>
      </c>
      <c r="I66" s="90">
        <f t="shared" si="21"/>
        <v>1</v>
      </c>
      <c r="J66" s="90">
        <f t="shared" si="21"/>
        <v>1</v>
      </c>
      <c r="K66" s="90">
        <f t="shared" si="21"/>
        <v>1</v>
      </c>
      <c r="L66" s="90">
        <f t="shared" si="21"/>
        <v>1</v>
      </c>
      <c r="M66" s="90">
        <f t="shared" si="21"/>
        <v>1</v>
      </c>
      <c r="N66" s="90">
        <f t="shared" si="21"/>
        <v>1</v>
      </c>
      <c r="O66" s="90">
        <f t="shared" si="21"/>
        <v>1</v>
      </c>
    </row>
    <row r="67" spans="2:15" x14ac:dyDescent="0.25">
      <c r="B67" s="5" t="s">
        <v>182</v>
      </c>
      <c r="C67" s="90">
        <f t="shared" si="20"/>
        <v>1</v>
      </c>
      <c r="D67" s="90">
        <f t="shared" si="20"/>
        <v>1</v>
      </c>
      <c r="E67" s="90">
        <f>IF(ISBLANK('Nutritional status distribution'!E$14),0.92,(0.92*'Nutritional status distribution'!E$14/(1-0.92*'Nutritional status distribution'!E$14))
/ ('Nutritional status distribution'!E$14/(1-'Nutritional status distribution'!E$14)))</f>
        <v>0.48723100867994662</v>
      </c>
      <c r="F67" s="90">
        <f>IF(ISBLANK('Nutritional status distribution'!F$14),0.92,(0.92*'Nutritional status distribution'!F$14/(1-0.92*'Nutritional status distribution'!F$14))
/ ('Nutritional status distribution'!F$14/(1-'Nutritional status distribution'!F$14)))</f>
        <v>0.64236921314848983</v>
      </c>
      <c r="G67" s="90">
        <f>IF(ISBLANK('Nutritional status distribution'!G$14),0.92,(0.92*'Nutritional status distribution'!G$14/(1-0.92*'Nutritional status distribution'!G$14))
/ ('Nutritional status distribution'!G$14/(1-'Nutritional status distribution'!G$14)))</f>
        <v>0.64236921314848983</v>
      </c>
      <c r="H67" s="90">
        <f>IF(ISBLANK('Nutritional status distribution'!H$14),0.92,(0.92*'Nutritional status distribution'!H$14/(1-0.92*'Nutritional status distribution'!H$14))
/ ('Nutritional status distribution'!H$14/(1-'Nutritional status distribution'!H$14)))</f>
        <v>0.88542621448212644</v>
      </c>
      <c r="I67" s="90">
        <f>IF(ISBLANK('Nutritional status distribution'!I$14),0.92,(0.92*'Nutritional status distribution'!I$14/(1-0.92*'Nutritional status distribution'!I$14))
/ ('Nutritional status distribution'!I$14/(1-'Nutritional status distribution'!I$14)))</f>
        <v>0.88542621448212644</v>
      </c>
      <c r="J67" s="90">
        <f>IF(ISBLANK('Nutritional status distribution'!J$14),0.92,(0.92*'Nutritional status distribution'!J$14/(1-0.92*'Nutritional status distribution'!J$14))
/ ('Nutritional status distribution'!J$14/(1-'Nutritional status distribution'!J$14)))</f>
        <v>0.88542621448212644</v>
      </c>
      <c r="K67" s="90">
        <f>IF(ISBLANK('Nutritional status distribution'!K$14),0.92,(0.92*'Nutritional status distribution'!K$14/(1-0.92*'Nutritional status distribution'!K$14))
/ ('Nutritional status distribution'!K$14/(1-'Nutritional status distribution'!K$14)))</f>
        <v>0.88542621448212644</v>
      </c>
      <c r="L67" s="90">
        <f>IF(ISBLANK('Nutritional status distribution'!L$14),0.92,(0.92*'Nutritional status distribution'!L$14/(1-0.92*'Nutritional status distribution'!L$14))
/ ('Nutritional status distribution'!L$14/(1-'Nutritional status distribution'!L$14)))</f>
        <v>0.880874382035857</v>
      </c>
      <c r="M67" s="90">
        <f>IF(ISBLANK('Nutritional status distribution'!M$14),0.92,(0.92*'Nutritional status distribution'!M$14/(1-0.92*'Nutritional status distribution'!M$14))
/ ('Nutritional status distribution'!M$14/(1-'Nutritional status distribution'!M$14)))</f>
        <v>0.880874382035857</v>
      </c>
      <c r="N67" s="90">
        <f>IF(ISBLANK('Nutritional status distribution'!N$14),0.92,(0.92*'Nutritional status distribution'!N$14/(1-0.92*'Nutritional status distribution'!N$14))
/ ('Nutritional status distribution'!N$14/(1-'Nutritional status distribution'!N$14)))</f>
        <v>0.880874382035857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0.880874382035857</v>
      </c>
    </row>
  </sheetData>
  <sheetProtection algorithmName="SHA-512" hashValue="QTNrTNcX0LQnvnw9OcFIuF8iiKsb7nBsadUCrO1kCxqB4CvEkER3v8YCwNBmR8txM/1IAuOQ/zC/vA8HLWjOhA==" saltValue="f5+QlQPEjGE24L/HhPaCM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E28" sqref="E28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ht="13.25" customHeight="1" x14ac:dyDescent="0.25">
      <c r="B3" s="11" t="s">
        <v>157</v>
      </c>
      <c r="C3" s="90">
        <v>1</v>
      </c>
      <c r="D3" s="90">
        <f>IF(ISBLANK('Nutritional status distribution'!D$11),(1/1.33),((1/1.33)*'Nutritional status distribution'!D$11/(1-(1/1.33)*'Nutritional status distribution'!D$11))
/ ('Nutritional status distribution'!D$11/(1-'Nutritional status distribution'!D$11)))</f>
        <v>0.73521678274753444</v>
      </c>
      <c r="E3" s="90">
        <f>IF(ISBLANK('Nutritional status distribution'!E$11),(1/1.33),((1/1.33)*'Nutritional status distribution'!E$11/(1-(1/1.33)*'Nutritional status distribution'!E$11))
/ ('Nutritional status distribution'!E$11/(1-'Nutritional status distribution'!E$11)))</f>
        <v>0.74558442969294514</v>
      </c>
      <c r="F3" s="90">
        <f>IF(ISBLANK('Nutritional status distribution'!F$11),(1/1.33),((1/1.33)*'Nutritional status distribution'!F$11/(1-(1/1.33)*'Nutritional status distribution'!F$11))
/ ('Nutritional status distribution'!F$11/(1-'Nutritional status distribution'!F$11)))</f>
        <v>0.7480206079554188</v>
      </c>
      <c r="G3" s="90">
        <f>IF(ISBLANK('Nutritional status distribution'!G$11),(1/1.33),((1/1.33)*'Nutritional status distribution'!G$11/(1-(1/1.33)*'Nutritional status distribution'!G$11))
/ ('Nutritional status distribution'!G$11/(1-'Nutritional status distribution'!G$11)))</f>
        <v>0.75002140310697718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ht="13.25" customHeight="1" x14ac:dyDescent="0.25">
      <c r="B5" s="5" t="s">
        <v>158</v>
      </c>
      <c r="C5" s="90">
        <v>1</v>
      </c>
      <c r="D5" s="90">
        <f>IF(ISBLANK('Nutritional status distribution'!D$10),(1/1.33),((1/1.33)*'Nutritional status distribution'!D$10/(1-(1/1.33)*'Nutritional status distribution'!D$10))
/ ('Nutritional status distribution'!D$10/(1-'Nutritional status distribution'!D$10)))</f>
        <v>0.7387162912094305</v>
      </c>
      <c r="E5" s="90">
        <f>IF(ISBLANK('Nutritional status distribution'!E$10),(1/1.33),((1/1.33)*'Nutritional status distribution'!E$10/(1-(1/1.33)*'Nutritional status distribution'!E$10))
/ ('Nutritional status distribution'!E$10/(1-'Nutritional status distribution'!E$10)))</f>
        <v>0.73877769642960023</v>
      </c>
      <c r="F5" s="90">
        <f>IF(ISBLANK('Nutritional status distribution'!F$10),(1/1.33),((1/1.33)*'Nutritional status distribution'!F$10/(1-(1/1.33)*'Nutritional status distribution'!F$10))
/ ('Nutritional status distribution'!F$10/(1-'Nutritional status distribution'!F$10)))</f>
        <v>0.74394092170910342</v>
      </c>
      <c r="G5" s="90">
        <f>IF(ISBLANK('Nutritional status distribution'!G$10),(1/1.33),((1/1.33)*'Nutritional status distribution'!G$10/(1-(1/1.33)*'Nutritional status distribution'!G$10))
/ ('Nutritional status distribution'!G$10/(1-'Nutritional status distribution'!G$10)))</f>
        <v>0.74642369912051232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ht="13.25" customHeight="1" x14ac:dyDescent="0.25">
      <c r="B10" s="11" t="s">
        <v>157</v>
      </c>
      <c r="C10" s="90">
        <v>1</v>
      </c>
      <c r="D10" s="90">
        <f>IF(ISBLANK('Nutritional status distribution'!D$11),(1/1.54),((1/1.54)*'Nutritional status distribution'!D$11/(1-(1/1.54)*'Nutritional status distribution'!D$11))
/ ('Nutritional status distribution'!D$11/(1-'Nutritional status distribution'!D$11)))</f>
        <v>0.62919793115649125</v>
      </c>
      <c r="E10" s="90">
        <f>IF(ISBLANK('Nutritional status distribution'!E$11),(1/1.54),((1/1.54)*'Nutritional status distribution'!E$11/(1-(1/1.54)*'Nutritional status distribution'!E$11))
/ ('Nutritional status distribution'!E$11/(1-'Nutritional status distribution'!E$11)))</f>
        <v>0.64169369578173896</v>
      </c>
      <c r="F10" s="90">
        <f>IF(ISBLANK('Nutritional status distribution'!F$11),(1/1.54),((1/1.54)*'Nutritional status distribution'!F$11/(1-(1/1.54)*'Nutritional status distribution'!F$11))
/ ('Nutritional status distribution'!F$11/(1-'Nutritional status distribution'!F$11)))</f>
        <v>0.64465055484322098</v>
      </c>
      <c r="G10" s="90">
        <f>IF(ISBLANK('Nutritional status distribution'!G$11),(1/1.54),((1/1.54)*'Nutritional status distribution'!G$11/(1-(1/1.54)*'Nutritional status distribution'!G$11))
/ ('Nutritional status distribution'!G$11/(1-'Nutritional status distribution'!G$11)))</f>
        <v>0.64708489267192293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ht="13.25" customHeight="1" x14ac:dyDescent="0.25">
      <c r="B12" s="5" t="s">
        <v>158</v>
      </c>
      <c r="C12" s="90">
        <v>1</v>
      </c>
      <c r="D12" s="90">
        <f>IF(ISBLANK('Nutritional status distribution'!D$10),(1/1.54),((1/1.54)*'Nutritional status distribution'!D$10/(1-(1/1.54)*'Nutritional status distribution'!D$10))
/ ('Nutritional status distribution'!D$10/(1-'Nutritional status distribution'!D$10)))</f>
        <v>0.63339996065691451</v>
      </c>
      <c r="E12" s="90">
        <f>IF(ISBLANK('Nutritional status distribution'!E$10),(1/1.54),((1/1.54)*'Nutritional status distribution'!E$10/(1-(1/1.54)*'Nutritional status distribution'!E$10))
/ ('Nutritional status distribution'!E$10/(1-'Nutritional status distribution'!E$10)))</f>
        <v>0.6334738361469473</v>
      </c>
      <c r="F12" s="90">
        <f>IF(ISBLANK('Nutritional status distribution'!F$10),(1/1.54),((1/1.54)*'Nutritional status distribution'!F$10/(1-(1/1.54)*'Nutritional status distribution'!F$10))
/ ('Nutritional status distribution'!F$10/(1-'Nutritional status distribution'!F$10)))</f>
        <v>0.63970337638563457</v>
      </c>
      <c r="G12" s="90">
        <f>IF(ISBLANK('Nutritional status distribution'!G$10),(1/1.54),((1/1.54)*'Nutritional status distribution'!G$10/(1-(1/1.54)*'Nutritional status distribution'!G$10))
/ ('Nutritional status distribution'!G$10/(1-'Nutritional status distribution'!G$10)))</f>
        <v>0.64271144969928784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ht="13.25" customHeight="1" x14ac:dyDescent="0.25">
      <c r="B17" s="11" t="s">
        <v>157</v>
      </c>
      <c r="C17" s="90">
        <v>1</v>
      </c>
      <c r="D17" s="90">
        <f>IF(ISBLANK('Nutritional status distribution'!D$11),(1/1.16),((1/1.16)*'Nutritional status distribution'!D$11/(1-(1/1.16)*'Nutritional status distribution'!D$11))
/ ('Nutritional status distribution'!D$11/(1-'Nutritional status distribution'!D$11)))</f>
        <v>0.85134291528029737</v>
      </c>
      <c r="E17" s="90">
        <f>IF(ISBLANK('Nutritional status distribution'!E$11),(1/1.16),((1/1.16)*'Nutritional status distribution'!E$11/(1-(1/1.16)*'Nutritional status distribution'!E$11))
/ ('Nutritional status distribution'!E$11/(1-'Nutritional status distribution'!E$11)))</f>
        <v>0.8580415585372112</v>
      </c>
      <c r="F17" s="90">
        <f>IF(ISBLANK('Nutritional status distribution'!F$11),(1/1.16),((1/1.16)*'Nutritional status distribution'!F$11/(1-(1/1.16)*'Nutritional status distribution'!F$11))
/ ('Nutritional status distribution'!F$11/(1-'Nutritional status distribution'!F$11)))</f>
        <v>0.85960366740039984</v>
      </c>
      <c r="G17" s="90">
        <f>IF(ISBLANK('Nutritional status distribution'!G$11),(1/1.16),((1/1.16)*'Nutritional status distribution'!G$11/(1-(1/1.16)*'Nutritional status distribution'!G$11))
/ ('Nutritional status distribution'!G$11/(1-'Nutritional status distribution'!G$11)))</f>
        <v>0.86088323713871018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ht="13.25" customHeight="1" x14ac:dyDescent="0.25">
      <c r="B19" s="5" t="s">
        <v>158</v>
      </c>
      <c r="C19" s="90">
        <v>1</v>
      </c>
      <c r="D19" s="90">
        <f>IF(ISBLANK('Nutritional status distribution'!D$10),(1/1.16),((1/1.16)*'Nutritional status distribution'!D$10/(1-(1/1.16)*'Nutritional status distribution'!D$10))
/ ('Nutritional status distribution'!D$10/(1-'Nutritional status distribution'!D$10)))</f>
        <v>0.85361322790714467</v>
      </c>
      <c r="E19" s="90">
        <f>IF(ISBLANK('Nutritional status distribution'!E$10),(1/1.16),((1/1.16)*'Nutritional status distribution'!E$10/(1-(1/1.16)*'Nutritional status distribution'!E$10))
/ ('Nutritional status distribution'!E$10/(1-'Nutritional status distribution'!E$10)))</f>
        <v>0.85365298021805669</v>
      </c>
      <c r="F19" s="90">
        <f>IF(ISBLANK('Nutritional status distribution'!F$10),(1/1.16),((1/1.16)*'Nutritional status distribution'!F$10/(1-(1/1.16)*'Nutritional status distribution'!F$10))
/ ('Nutritional status distribution'!F$10/(1-'Nutritional status distribution'!F$10)))</f>
        <v>0.85698516870723829</v>
      </c>
      <c r="G19" s="90">
        <f>IF(ISBLANK('Nutritional status distribution'!G$10),(1/1.16),((1/1.16)*'Nutritional status distribution'!G$10/(1-(1/1.16)*'Nutritional status distribution'!G$10))
/ ('Nutritional status distribution'!G$10/(1-'Nutritional status distribution'!G$10)))</f>
        <v>0.85858021812846508</v>
      </c>
    </row>
  </sheetData>
  <sheetProtection algorithmName="SHA-512" hashValue="ZIjv20oIFeX8hEAP3JXu7+FjYQdIWvRgXIH4IkxRsMm14MAW5JMg2x9QOPJ7rc+IAMFEDvKO0XCydnz4Atw3VA==" saltValue="eIHIWivrA2mRyU/FI0KAAQ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80" zoomScaleNormal="80" workbookViewId="0">
      <selection activeCell="E28" sqref="E28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ht="13.25" customHeight="1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ht="13.25" customHeight="1" x14ac:dyDescent="0.25">
      <c r="C3" s="5" t="s">
        <v>339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ht="13.25" customHeight="1" x14ac:dyDescent="0.25">
      <c r="C4" s="5" t="s">
        <v>340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ht="13.25" customHeight="1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ht="13.25" customHeight="1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ht="13.25" customHeight="1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ht="13.25" customHeight="1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ht="13.25" customHeight="1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ht="13.25" customHeight="1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ht="13.25" customHeight="1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ht="13.25" customHeight="1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ht="13.25" customHeight="1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ht="13.25" customHeight="1" x14ac:dyDescent="0.25">
      <c r="C14" s="5" t="s">
        <v>340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ht="13.25" customHeight="1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ht="13.25" customHeight="1" x14ac:dyDescent="0.25">
      <c r="C16" s="5" t="s">
        <v>340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ht="13.25" customHeight="1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ht="13.25" customHeight="1" x14ac:dyDescent="0.25">
      <c r="C18" s="5" t="s">
        <v>340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ht="13.25" customHeight="1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ht="13.25" customHeight="1" x14ac:dyDescent="0.25">
      <c r="C20" s="5" t="s">
        <v>340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ht="13.25" customHeight="1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ht="13.25" customHeight="1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ht="13.25" customHeight="1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ht="13.25" customHeight="1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ht="13.25" customHeight="1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ht="13.25" customHeight="1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ht="13.25" customHeight="1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ht="13.25" customHeight="1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ht="13.25" customHeight="1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ht="13.25" customHeight="1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ht="13.25" customHeight="1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ht="13.25" customHeight="1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ht="13.25" customHeight="1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ht="13.25" customHeight="1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ht="13.25" customHeight="1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ht="13.25" customHeight="1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ht="13.25" customHeight="1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ht="13.25" customHeight="1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ht="13.25" customHeight="1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ht="13.25" customHeight="1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ht="13.25" customHeight="1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ht="13.25" customHeight="1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ht="13.25" customHeight="1" x14ac:dyDescent="0.25">
      <c r="C43" s="5" t="s">
        <v>339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ht="13.25" customHeight="1" x14ac:dyDescent="0.25">
      <c r="C44" s="5" t="s">
        <v>340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ht="13.25" customHeight="1" x14ac:dyDescent="0.25">
      <c r="B45" s="5" t="s">
        <v>82</v>
      </c>
      <c r="C45" s="5" t="s">
        <v>338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ht="13.25" customHeight="1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ht="13.25" customHeight="1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ht="13.25" customHeight="1" x14ac:dyDescent="0.25">
      <c r="A48" s="5" t="s">
        <v>190</v>
      </c>
      <c r="B48" s="5" t="s">
        <v>81</v>
      </c>
      <c r="C48" s="5" t="s">
        <v>338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ht="13.25" customHeight="1" x14ac:dyDescent="0.25">
      <c r="C49" s="5" t="s">
        <v>339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ht="13.25" customHeight="1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ht="13.25" customHeight="1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ht="13.25" customHeight="1" x14ac:dyDescent="0.25">
      <c r="A52" s="5" t="s">
        <v>183</v>
      </c>
      <c r="B52" s="5" t="s">
        <v>72</v>
      </c>
      <c r="C52" s="5" t="s">
        <v>338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ht="13.25" customHeight="1" x14ac:dyDescent="0.25">
      <c r="C53" s="5" t="s">
        <v>339</v>
      </c>
      <c r="D53" s="90">
        <v>0.51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ht="13.25" customHeight="1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ht="13.25" customHeight="1" x14ac:dyDescent="0.25">
      <c r="C58" s="5" t="s">
        <v>339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ht="13.25" customHeight="1" x14ac:dyDescent="0.25">
      <c r="C59" s="5" t="s">
        <v>340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ht="13.25" customHeight="1" x14ac:dyDescent="0.25">
      <c r="A60" s="5" t="s">
        <v>191</v>
      </c>
      <c r="B60" s="5" t="s">
        <v>205</v>
      </c>
      <c r="C60" s="5" t="s">
        <v>338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ht="13.25" customHeight="1" x14ac:dyDescent="0.25">
      <c r="C61" s="5" t="s">
        <v>340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ht="13.25" customHeight="1" x14ac:dyDescent="0.25">
      <c r="B62" s="5" t="s">
        <v>204</v>
      </c>
      <c r="C62" s="5" t="s">
        <v>338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ht="13.25" customHeight="1" x14ac:dyDescent="0.25">
      <c r="C63" s="5" t="s">
        <v>340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ht="13.25" customHeight="1" x14ac:dyDescent="0.25">
      <c r="A64" s="5" t="s">
        <v>184</v>
      </c>
      <c r="B64" s="5" t="s">
        <v>205</v>
      </c>
      <c r="C64" s="5" t="s">
        <v>338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ht="13.25" customHeight="1" x14ac:dyDescent="0.25">
      <c r="C65" s="5" t="s">
        <v>340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ht="13.25" customHeight="1" x14ac:dyDescent="0.25">
      <c r="B66" s="5" t="s">
        <v>204</v>
      </c>
      <c r="C66" s="5" t="s">
        <v>338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ht="13.25" customHeight="1" x14ac:dyDescent="0.25">
      <c r="C67" s="5" t="s">
        <v>340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ht="13.25" customHeight="1" x14ac:dyDescent="0.25">
      <c r="A68" s="5" t="s">
        <v>192</v>
      </c>
      <c r="B68" s="5" t="s">
        <v>205</v>
      </c>
      <c r="C68" s="5" t="s">
        <v>338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ht="13.25" customHeight="1" x14ac:dyDescent="0.25">
      <c r="C69" s="5" t="s">
        <v>340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ht="13.25" customHeight="1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ht="13.25" customHeight="1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ht="13.25" customHeight="1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ht="13.25" customHeight="1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339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339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339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340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339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340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339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340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339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340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339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340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339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340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82</v>
      </c>
      <c r="C100" s="5" t="s">
        <v>338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339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340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339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339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339</v>
      </c>
      <c r="D108" s="90">
        <v>0.18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339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340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340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204</v>
      </c>
      <c r="C117" s="5" t="s">
        <v>338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340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340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204</v>
      </c>
      <c r="C121" s="5" t="s">
        <v>338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340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340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340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340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204</v>
      </c>
      <c r="C129" s="5" t="s">
        <v>338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340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339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339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339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339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340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339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340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340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340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340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339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340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82</v>
      </c>
      <c r="C155" s="5" t="s">
        <v>338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339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340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339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339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339</v>
      </c>
      <c r="D163" s="90">
        <v>0.71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gIF3gzcRwMevsVP9JM+eFJliWIfkjL6RYnVy29HH1zFwKTB/eJc1NVFGROY84dwrfqcI+B8KpOZ1waT1qDgCXQ==" saltValue="0Itsi1W8Rg+oXl6coWpo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E28" sqref="E28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ht="13.25" customHeight="1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ht="13.25" customHeight="1" x14ac:dyDescent="0.25">
      <c r="C3" s="8" t="s">
        <v>339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ht="13.25" customHeight="1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ht="13.25" customHeight="1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ht="13.25" customHeight="1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ht="13.25" customHeight="1" x14ac:dyDescent="0.25">
      <c r="C7" s="8" t="s">
        <v>339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ht="13.25" customHeight="1" x14ac:dyDescent="0.25">
      <c r="A11" s="3" t="s">
        <v>168</v>
      </c>
      <c r="B11" s="8" t="s">
        <v>94</v>
      </c>
      <c r="C11" s="3" t="s">
        <v>338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ht="13.25" customHeight="1" x14ac:dyDescent="0.25">
      <c r="C12" s="8" t="s">
        <v>339</v>
      </c>
      <c r="D12" s="90">
        <v>0</v>
      </c>
      <c r="E12" s="90">
        <v>0</v>
      </c>
      <c r="F12" s="90">
        <v>0</v>
      </c>
      <c r="G12" s="90">
        <v>0</v>
      </c>
    </row>
    <row r="13" spans="1:8" ht="13.25" customHeight="1" x14ac:dyDescent="0.25">
      <c r="A13" s="3" t="s">
        <v>187</v>
      </c>
      <c r="B13" s="8" t="s">
        <v>94</v>
      </c>
      <c r="C13" s="3" t="s">
        <v>338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ht="13.25" customHeight="1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ht="13.25" customHeight="1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ht="13.25" customHeight="1" x14ac:dyDescent="0.25">
      <c r="C16" s="8" t="s">
        <v>339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ht="13.25" customHeight="1" x14ac:dyDescent="0.25">
      <c r="A20" s="3" t="s">
        <v>168</v>
      </c>
      <c r="B20" s="8" t="s">
        <v>94</v>
      </c>
      <c r="C20" s="3" t="s">
        <v>338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ht="13.25" customHeight="1" x14ac:dyDescent="0.25">
      <c r="C21" s="8" t="s">
        <v>339</v>
      </c>
      <c r="D21" s="90">
        <v>0.98</v>
      </c>
      <c r="E21" s="90">
        <v>0.98</v>
      </c>
      <c r="F21" s="90">
        <v>0.98</v>
      </c>
      <c r="G21" s="90">
        <v>0.98</v>
      </c>
    </row>
    <row r="22" spans="1:7" ht="13.25" customHeight="1" x14ac:dyDescent="0.25">
      <c r="A22" s="3" t="s">
        <v>187</v>
      </c>
      <c r="B22" s="8" t="s">
        <v>94</v>
      </c>
      <c r="C22" s="3" t="s">
        <v>338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ht="13.25" customHeight="1" x14ac:dyDescent="0.25">
      <c r="C23" s="8" t="s">
        <v>339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ht="13.25" customHeight="1" x14ac:dyDescent="0.25">
      <c r="A24" s="3" t="s">
        <v>186</v>
      </c>
      <c r="B24" s="8" t="s">
        <v>94</v>
      </c>
      <c r="C24" s="3" t="s">
        <v>338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ht="13.25" customHeight="1" x14ac:dyDescent="0.25">
      <c r="C25" s="8" t="s">
        <v>339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SSCu+FR+SN+siPEoAiap+3g3Z0SGqFtJklZqGSbEJvGKfBY2J7BHBpfevFvAYPx8Hf15tBeGKZdJ4ehQEpyLRg==" saltValue="A0PmMaoo+OfazXy7x4UxVw==" spinCount="100000" sheet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2024-03-18T00:20:22Z</dcterms:modified>
</cp:coreProperties>
</file>