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LiST Optima bridge\App\en\"/>
    </mc:Choice>
  </mc:AlternateContent>
  <xr:revisionPtr revIDLastSave="0" documentId="8_{C975D512-C7C7-409B-B05D-B9E29C0ED0C2}" xr6:coauthVersionLast="47" xr6:coauthVersionMax="47" xr10:uidLastSave="{00000000-0000-0000-0000-000000000000}"/>
  <bookViews>
    <workbookView xWindow="0" yWindow="3670" windowWidth="19200" windowHeight="6530" tabRatio="961" firstSheet="10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1" i="28"/>
  <c r="F11" i="28"/>
  <c r="E11" i="28"/>
  <c r="D11" i="28"/>
  <c r="H153" i="27"/>
  <c r="G153" i="27"/>
  <c r="F153" i="27"/>
  <c r="E153" i="27"/>
  <c r="D153" i="27"/>
  <c r="F152" i="27"/>
  <c r="H136" i="27"/>
  <c r="G136" i="27"/>
  <c r="F136" i="27"/>
  <c r="E136" i="27"/>
  <c r="H135" i="27"/>
  <c r="G135" i="27"/>
  <c r="F135" i="27"/>
  <c r="E135" i="27"/>
  <c r="D135" i="27"/>
  <c r="H134" i="27"/>
  <c r="G134" i="27"/>
  <c r="F134" i="27"/>
  <c r="E134" i="27"/>
  <c r="H133" i="27"/>
  <c r="G133" i="27"/>
  <c r="F133" i="27"/>
  <c r="E133" i="27"/>
  <c r="H132" i="27"/>
  <c r="G132" i="27"/>
  <c r="F132" i="27"/>
  <c r="E132" i="27"/>
  <c r="H131" i="27"/>
  <c r="G131" i="27"/>
  <c r="F131" i="27"/>
  <c r="E131" i="27"/>
  <c r="E130" i="27"/>
  <c r="D130" i="27"/>
  <c r="H129" i="27"/>
  <c r="E129" i="27"/>
  <c r="D129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E114" i="27"/>
  <c r="D114" i="27"/>
  <c r="E113" i="27"/>
  <c r="D113" i="27"/>
  <c r="H112" i="27"/>
  <c r="E112" i="27"/>
  <c r="D112" i="27"/>
  <c r="H97" i="27"/>
  <c r="H152" i="27" s="1"/>
  <c r="G97" i="27"/>
  <c r="G152" i="27" s="1"/>
  <c r="F97" i="27"/>
  <c r="E97" i="27"/>
  <c r="E152" i="27" s="1"/>
  <c r="D97" i="27"/>
  <c r="D152" i="27" s="1"/>
  <c r="H81" i="27"/>
  <c r="G81" i="27"/>
  <c r="F81" i="27"/>
  <c r="E81" i="27"/>
  <c r="H80" i="27"/>
  <c r="G80" i="27"/>
  <c r="F80" i="27"/>
  <c r="E80" i="27"/>
  <c r="D80" i="27"/>
  <c r="H79" i="27"/>
  <c r="G79" i="27"/>
  <c r="F79" i="27"/>
  <c r="E79" i="27"/>
  <c r="H78" i="27"/>
  <c r="G78" i="27"/>
  <c r="F78" i="27"/>
  <c r="E78" i="27"/>
  <c r="D78" i="27"/>
  <c r="D133" i="27" s="1"/>
  <c r="H77" i="27"/>
  <c r="G77" i="27"/>
  <c r="F77" i="27"/>
  <c r="E77" i="27"/>
  <c r="H76" i="27"/>
  <c r="G76" i="27"/>
  <c r="F76" i="27"/>
  <c r="E76" i="27"/>
  <c r="D76" i="27"/>
  <c r="D131" i="27" s="1"/>
  <c r="E75" i="27"/>
  <c r="D75" i="27"/>
  <c r="H74" i="27"/>
  <c r="G74" i="27"/>
  <c r="G129" i="27" s="1"/>
  <c r="F74" i="27"/>
  <c r="F129" i="27" s="1"/>
  <c r="E74" i="27"/>
  <c r="D74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E59" i="27"/>
  <c r="D59" i="27"/>
  <c r="E58" i="27"/>
  <c r="D58" i="27"/>
  <c r="H57" i="27"/>
  <c r="G57" i="27"/>
  <c r="G112" i="27" s="1"/>
  <c r="F57" i="27"/>
  <c r="F112" i="27" s="1"/>
  <c r="E57" i="27"/>
  <c r="D57" i="27"/>
  <c r="G19" i="26"/>
  <c r="F19" i="26"/>
  <c r="E19" i="26"/>
  <c r="D19" i="26"/>
  <c r="G17" i="26"/>
  <c r="F17" i="26"/>
  <c r="E17" i="26"/>
  <c r="D17" i="26"/>
  <c r="G12" i="26"/>
  <c r="F12" i="26"/>
  <c r="E12" i="26"/>
  <c r="D12" i="26"/>
  <c r="G10" i="26"/>
  <c r="F10" i="26"/>
  <c r="E10" i="26"/>
  <c r="D10" i="26"/>
  <c r="G5" i="26"/>
  <c r="F5" i="26"/>
  <c r="E5" i="26"/>
  <c r="D5" i="26"/>
  <c r="G3" i="26"/>
  <c r="F3" i="26"/>
  <c r="E3" i="26"/>
  <c r="D3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D59" i="25"/>
  <c r="C59" i="25"/>
  <c r="O57" i="25"/>
  <c r="N57" i="25"/>
  <c r="M57" i="25"/>
  <c r="L57" i="25"/>
  <c r="K57" i="25"/>
  <c r="J57" i="25"/>
  <c r="I57" i="25"/>
  <c r="H57" i="25"/>
  <c r="G57" i="25"/>
  <c r="D57" i="25"/>
  <c r="C57" i="25"/>
  <c r="K56" i="25"/>
  <c r="J56" i="25"/>
  <c r="I56" i="25"/>
  <c r="H56" i="25"/>
  <c r="G56" i="25"/>
  <c r="F56" i="25"/>
  <c r="E56" i="25"/>
  <c r="D56" i="25"/>
  <c r="C56" i="25"/>
  <c r="K55" i="25"/>
  <c r="J55" i="25"/>
  <c r="I55" i="25"/>
  <c r="H55" i="25"/>
  <c r="G55" i="25"/>
  <c r="F55" i="25"/>
  <c r="E55" i="25"/>
  <c r="D55" i="25"/>
  <c r="C55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G53" i="25"/>
  <c r="F53" i="25"/>
  <c r="E53" i="25"/>
  <c r="D53" i="25"/>
  <c r="C53" i="25"/>
  <c r="O52" i="25"/>
  <c r="N52" i="25"/>
  <c r="M52" i="25"/>
  <c r="L52" i="25"/>
  <c r="G52" i="25"/>
  <c r="F52" i="25"/>
  <c r="E52" i="25"/>
  <c r="D52" i="25"/>
  <c r="C52" i="25"/>
  <c r="O51" i="25"/>
  <c r="N51" i="25"/>
  <c r="M51" i="25"/>
  <c r="L51" i="25"/>
  <c r="G51" i="25"/>
  <c r="F51" i="25"/>
  <c r="E51" i="25"/>
  <c r="D51" i="25"/>
  <c r="C51" i="25"/>
  <c r="O50" i="25"/>
  <c r="N50" i="25"/>
  <c r="M50" i="25"/>
  <c r="L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D36" i="25"/>
  <c r="C36" i="25"/>
  <c r="O34" i="25"/>
  <c r="N34" i="25"/>
  <c r="M34" i="25"/>
  <c r="L34" i="25"/>
  <c r="K34" i="25"/>
  <c r="J34" i="25"/>
  <c r="I34" i="25"/>
  <c r="H34" i="25"/>
  <c r="D34" i="25"/>
  <c r="C34" i="25"/>
  <c r="K33" i="25"/>
  <c r="J33" i="25"/>
  <c r="I33" i="25"/>
  <c r="H33" i="25"/>
  <c r="G33" i="25"/>
  <c r="F33" i="25"/>
  <c r="E33" i="25"/>
  <c r="D33" i="25"/>
  <c r="C33" i="25"/>
  <c r="K32" i="25"/>
  <c r="J32" i="25"/>
  <c r="I32" i="25"/>
  <c r="H32" i="25"/>
  <c r="G32" i="25"/>
  <c r="F32" i="25"/>
  <c r="E32" i="25"/>
  <c r="D32" i="25"/>
  <c r="C32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G30" i="25"/>
  <c r="F30" i="25"/>
  <c r="E30" i="25"/>
  <c r="D30" i="25"/>
  <c r="C30" i="25"/>
  <c r="O29" i="25"/>
  <c r="N29" i="25"/>
  <c r="M29" i="25"/>
  <c r="L29" i="25"/>
  <c r="G29" i="25"/>
  <c r="F29" i="25"/>
  <c r="E29" i="25"/>
  <c r="D29" i="25"/>
  <c r="C29" i="25"/>
  <c r="O28" i="25"/>
  <c r="N28" i="25"/>
  <c r="M28" i="25"/>
  <c r="L28" i="25"/>
  <c r="G28" i="25"/>
  <c r="F28" i="25"/>
  <c r="E28" i="25"/>
  <c r="D28" i="25"/>
  <c r="C28" i="25"/>
  <c r="O27" i="25"/>
  <c r="N27" i="25"/>
  <c r="M27" i="25"/>
  <c r="L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O21" i="25"/>
  <c r="N21" i="25"/>
  <c r="M21" i="25"/>
  <c r="L21" i="25"/>
  <c r="K21" i="25"/>
  <c r="J21" i="25"/>
  <c r="I21" i="25"/>
  <c r="H21" i="25"/>
  <c r="G21" i="25"/>
  <c r="F21" i="25"/>
  <c r="E21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D34" i="24"/>
  <c r="C34" i="24"/>
  <c r="F32" i="24"/>
  <c r="E32" i="24"/>
  <c r="D32" i="24"/>
  <c r="C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D21" i="24"/>
  <c r="C21" i="24"/>
  <c r="F19" i="24"/>
  <c r="E19" i="24"/>
  <c r="D19" i="24"/>
  <c r="C19" i="24"/>
  <c r="F17" i="24"/>
  <c r="E17" i="24"/>
  <c r="D17" i="24"/>
  <c r="C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D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D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9" i="20"/>
  <c r="E8" i="20"/>
  <c r="D6" i="20"/>
  <c r="D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I40" i="2"/>
  <c r="H40" i="2"/>
  <c r="G40" i="2"/>
  <c r="A40" i="2"/>
  <c r="H39" i="2"/>
  <c r="G39" i="2"/>
  <c r="I39" i="2" s="1"/>
  <c r="A39" i="2"/>
  <c r="I38" i="2"/>
  <c r="H38" i="2"/>
  <c r="G38" i="2"/>
  <c r="A38" i="2"/>
  <c r="A37" i="2"/>
  <c r="A35" i="2"/>
  <c r="A34" i="2"/>
  <c r="A33" i="2"/>
  <c r="A32" i="2"/>
  <c r="A30" i="2"/>
  <c r="A29" i="2"/>
  <c r="A27" i="2"/>
  <c r="A26" i="2"/>
  <c r="A25" i="2"/>
  <c r="A24" i="2"/>
  <c r="A22" i="2"/>
  <c r="A21" i="2"/>
  <c r="A19" i="2"/>
  <c r="A18" i="2"/>
  <c r="A17" i="2"/>
  <c r="A16" i="2"/>
  <c r="A14" i="2"/>
  <c r="A13" i="2"/>
  <c r="I11" i="2"/>
  <c r="H11" i="2"/>
  <c r="G11" i="2"/>
  <c r="H10" i="2"/>
  <c r="G10" i="2"/>
  <c r="I10" i="2" s="1"/>
  <c r="I9" i="2"/>
  <c r="H9" i="2"/>
  <c r="G9" i="2"/>
  <c r="H8" i="2"/>
  <c r="G8" i="2"/>
  <c r="I8" i="2" s="1"/>
  <c r="I7" i="2"/>
  <c r="H7" i="2"/>
  <c r="G7" i="2"/>
  <c r="H6" i="2"/>
  <c r="G6" i="2"/>
  <c r="I6" i="2" s="1"/>
  <c r="I5" i="2"/>
  <c r="H5" i="2"/>
  <c r="G5" i="2"/>
  <c r="H4" i="2"/>
  <c r="G4" i="2"/>
  <c r="I4" i="2" s="1"/>
  <c r="I3" i="2"/>
  <c r="H3" i="2"/>
  <c r="G3" i="2"/>
  <c r="A3" i="2"/>
  <c r="H2" i="2"/>
  <c r="G2" i="2"/>
  <c r="I2" i="2" s="1"/>
  <c r="A2" i="2"/>
  <c r="A31" i="2" s="1"/>
  <c r="C33" i="1"/>
  <c r="C20" i="1"/>
  <c r="A4" i="2" l="1"/>
  <c r="A5" i="2" s="1"/>
  <c r="A6" i="2"/>
  <c r="A7" i="2" s="1"/>
  <c r="A8" i="2"/>
  <c r="A9" i="2" s="1"/>
  <c r="A10" i="2" s="1"/>
  <c r="A11" i="2" s="1"/>
  <c r="A12" i="2"/>
  <c r="A20" i="2"/>
  <c r="A28" i="2"/>
  <c r="A36" i="2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1" authorId="0" shapeId="0" xr:uid="{00000000-0006-0000-1300-00000B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2" authorId="0" shapeId="0" xr:uid="{00000000-0006-0000-1300-00000C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A36" authorId="1" shapeId="0" xr:uid="{00000000-0006-0000-1300-00000D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10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1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4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5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6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9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A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D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E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F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20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9" authorId="0" shapeId="0" xr:uid="{00000000-0006-0000-1600-000009000000}">
      <text>
        <r>
          <rPr>
            <sz val="10"/>
            <color rgb="FF000000"/>
            <rFont val="Arial"/>
          </rPr>
          <t xml:space="preserve">Nick Scott:
No statistically significant effect
Imdad et al 2023, RR prevalence of stunting 1.00 (0.94-1.07) 
Lassi et al 2020, incidence of stunting after 6 months RR 0.82 (0.65-1.03) 
Lassi et al 2020, LAZ 6 months SMD 0.06 (-0.07 to 0.19) 
Tam et al 2020, RR 1.00 (0.89-1.14)
</t>
        </r>
      </text>
    </comment>
    <comment ref="C12" authorId="1" shapeId="0" xr:uid="{00000000-0006-0000-1600-00000A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B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C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D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F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10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2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5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6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7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9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A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C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2" authorId="0" shapeId="0" xr:uid="{00000000-0006-0000-1700-000001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D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C4" authorId="0" shapeId="0" xr:uid="{00000000-0006-0000-1700-000003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6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8" authorId="0" shapeId="0" xr:uid="{00000000-0006-0000-1700-000007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8" authorId="0" shapeId="0" xr:uid="{00000000-0006-0000-1700-000008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0" authorId="0" shapeId="0" xr:uid="{00000000-0006-0000-1700-000009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10" authorId="0" shapeId="0" xr:uid="{00000000-0006-0000-1700-00000A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2" authorId="0" shapeId="0" xr:uid="{00000000-0006-0000-1700-00000B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D12" authorId="0" shapeId="0" xr:uid="{00000000-0006-0000-1700-00000C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C17" authorId="0" shapeId="0" xr:uid="{00000000-0006-0000-1700-00000D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17" authorId="0" shapeId="0" xr:uid="{00000000-0006-0000-1700-00000E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19" authorId="0" shapeId="0" xr:uid="{00000000-0006-0000-1700-00000F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19" authorId="0" shapeId="0" xr:uid="{00000000-0006-0000-1700-000010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1" authorId="0" shapeId="0" xr:uid="{00000000-0006-0000-1700-000011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21" authorId="0" shapeId="0" xr:uid="{00000000-0006-0000-1700-000012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3" authorId="0" shapeId="0" xr:uid="{00000000-0006-0000-1700-000013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3" authorId="0" shapeId="0" xr:uid="{00000000-0006-0000-1700-000014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5" authorId="0" shapeId="0" xr:uid="{00000000-0006-0000-1700-000015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5" authorId="0" shapeId="0" xr:uid="{00000000-0006-0000-1700-000016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7" authorId="0" shapeId="0" xr:uid="{00000000-0006-0000-1700-000017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8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32" authorId="0" shapeId="0" xr:uid="{00000000-0006-0000-1700-000019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32" authorId="0" shapeId="0" xr:uid="{00000000-0006-0000-1700-00001A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34" authorId="0" shapeId="0" xr:uid="{00000000-0006-0000-1700-00001B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4" authorId="0" shapeId="0" xr:uid="{00000000-0006-0000-1700-00001C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6" authorId="0" shapeId="0" xr:uid="{00000000-0006-0000-1700-00001D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6" authorId="0" shapeId="0" xr:uid="{00000000-0006-0000-1700-00001E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8" authorId="0" shapeId="0" xr:uid="{00000000-0006-0000-1700-00001F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38" authorId="0" shapeId="0" xr:uid="{00000000-0006-0000-1700-000020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0" authorId="0" shapeId="0" xr:uid="{00000000-0006-0000-1700-000021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40" authorId="0" shapeId="0" xr:uid="{00000000-0006-0000-1700-000022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2" authorId="0" shapeId="0" xr:uid="{00000000-0006-0000-1700-00002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24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E11" authorId="1" shapeId="0" xr:uid="{00000000-0006-0000-1800-000012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F11" authorId="1" shapeId="0" xr:uid="{00000000-0006-0000-1800-000013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C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2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2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3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L14" authorId="1" shapeId="0" xr:uid="{00000000-0006-0000-1800-000024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M14" authorId="1" shapeId="0" xr:uid="{00000000-0006-0000-1800-000025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N14" authorId="1" shapeId="0" xr:uid="{00000000-0006-0000-1800-000026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O14" authorId="1" shapeId="0" xr:uid="{00000000-0006-0000-1800-000027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E15" authorId="0" shapeId="0" xr:uid="{00000000-0006-0000-1800-000028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15" authorId="0" shapeId="0" xr:uid="{00000000-0006-0000-1800-000029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E18" authorId="0" shapeId="0" xr:uid="{00000000-0006-0000-1800-00002A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B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C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D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E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  <comment ref="C26" authorId="0" shapeId="0" xr:uid="{00000000-0006-0000-1800-00002F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27" authorId="0" shapeId="0" xr:uid="{00000000-0006-0000-1800-00003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8" authorId="0" shapeId="0" xr:uid="{00000000-0006-0000-1800-00003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9" authorId="0" shapeId="0" xr:uid="{00000000-0006-0000-1800-00003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30" authorId="0" shapeId="0" xr:uid="{00000000-0006-0000-1800-00003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31" authorId="0" shapeId="0" xr:uid="{00000000-0006-0000-1800-00003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1" authorId="0" shapeId="0" xr:uid="{00000000-0006-0000-1800-00003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1" authorId="0" shapeId="0" xr:uid="{00000000-0006-0000-1800-00003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1" authorId="0" shapeId="0" xr:uid="{00000000-0006-0000-1800-00003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2" authorId="0" shapeId="0" xr:uid="{00000000-0006-0000-1800-00003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2" authorId="0" shapeId="0" xr:uid="{00000000-0006-0000-1800-00003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2" authorId="0" shapeId="0" xr:uid="{00000000-0006-0000-1800-00003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2" authorId="0" shapeId="0" xr:uid="{00000000-0006-0000-1800-00003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3" authorId="0" shapeId="0" xr:uid="{00000000-0006-0000-1800-00003C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33" authorId="0" shapeId="0" xr:uid="{00000000-0006-0000-1800-00003D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33" authorId="0" shapeId="0" xr:uid="{00000000-0006-0000-1800-00003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33" authorId="0" shapeId="0" xr:uid="{00000000-0006-0000-1800-00003F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35" authorId="0" shapeId="0" xr:uid="{00000000-0006-0000-1800-00004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35" authorId="0" shapeId="0" xr:uid="{00000000-0006-0000-1800-00004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5" authorId="0" shapeId="0" xr:uid="{00000000-0006-0000-1800-00004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35" authorId="0" shapeId="0" xr:uid="{00000000-0006-0000-1800-00004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35" authorId="0" shapeId="0" xr:uid="{00000000-0006-0000-1800-00004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35" authorId="0" shapeId="0" xr:uid="{00000000-0006-0000-1800-00004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35" authorId="0" shapeId="0" xr:uid="{00000000-0006-0000-1800-00004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35" authorId="0" shapeId="0" xr:uid="{00000000-0006-0000-1800-00004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35" authorId="0" shapeId="0" xr:uid="{00000000-0006-0000-1800-00004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35" authorId="0" shapeId="0" xr:uid="{00000000-0006-0000-1800-00004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35" authorId="0" shapeId="0" xr:uid="{00000000-0006-0000-1800-00004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35" authorId="0" shapeId="0" xr:uid="{00000000-0006-0000-1800-00004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35" authorId="0" shapeId="0" xr:uid="{00000000-0006-0000-1800-00004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6" authorId="0" shapeId="0" xr:uid="{00000000-0006-0000-1800-00004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36" authorId="0" shapeId="0" xr:uid="{00000000-0006-0000-1800-00004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36" authorId="0" shapeId="0" xr:uid="{00000000-0006-0000-1800-00004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38" authorId="0" shapeId="0" xr:uid="{00000000-0006-0000-1800-00005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38" authorId="0" shapeId="0" xr:uid="{00000000-0006-0000-1800-000051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C49" authorId="0" shapeId="0" xr:uid="{00000000-0006-0000-1800-000052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50" authorId="0" shapeId="0" xr:uid="{00000000-0006-0000-1800-00005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0" authorId="0" shapeId="0" xr:uid="{00000000-0006-0000-1800-000054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0" authorId="0" shapeId="0" xr:uid="{00000000-0006-0000-1800-000055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0" authorId="0" shapeId="0" xr:uid="{00000000-0006-0000-1800-000056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1" authorId="0" shapeId="0" xr:uid="{00000000-0006-0000-1800-000057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1" authorId="0" shapeId="0" xr:uid="{00000000-0006-0000-1800-000058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1" authorId="0" shapeId="0" xr:uid="{00000000-0006-0000-1800-000059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1" authorId="0" shapeId="0" xr:uid="{00000000-0006-0000-1800-00005A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2" authorId="0" shapeId="0" xr:uid="{00000000-0006-0000-1800-00005B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2" authorId="0" shapeId="0" xr:uid="{00000000-0006-0000-1800-00005C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2" authorId="0" shapeId="0" xr:uid="{00000000-0006-0000-1800-00005D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2" authorId="0" shapeId="0" xr:uid="{00000000-0006-0000-1800-00005E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3" authorId="0" shapeId="0" xr:uid="{00000000-0006-0000-1800-00005F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3" authorId="0" shapeId="0" xr:uid="{00000000-0006-0000-1800-00006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3" authorId="0" shapeId="0" xr:uid="{00000000-0006-0000-1800-00006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3" authorId="0" shapeId="0" xr:uid="{00000000-0006-0000-1800-00006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54" authorId="0" shapeId="0" xr:uid="{00000000-0006-0000-1800-000063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4" authorId="0" shapeId="0" xr:uid="{00000000-0006-0000-1800-00006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4" authorId="0" shapeId="0" xr:uid="{00000000-0006-0000-1800-00006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4" authorId="0" shapeId="0" xr:uid="{00000000-0006-0000-1800-00006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5" authorId="0" shapeId="0" xr:uid="{00000000-0006-0000-1800-00006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5" authorId="0" shapeId="0" xr:uid="{00000000-0006-0000-1800-00006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5" authorId="0" shapeId="0" xr:uid="{00000000-0006-0000-1800-00006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5" authorId="0" shapeId="0" xr:uid="{00000000-0006-0000-1800-00006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6" authorId="0" shapeId="0" xr:uid="{00000000-0006-0000-1800-00006B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M56" authorId="0" shapeId="0" xr:uid="{00000000-0006-0000-1800-00006C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N56" authorId="0" shapeId="0" xr:uid="{00000000-0006-0000-1800-00006D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O56" authorId="0" shapeId="0" xr:uid="{00000000-0006-0000-1800-00006E000000}">
      <text>
        <r>
          <rPr>
            <sz val="10"/>
            <color rgb="FF000000"/>
            <rFont val="Arial"/>
          </rPr>
          <t>Tharindu Wickramaarachchi:
RRR = 0.83 (0.74-0.93) for being anaemic [Radeva‐Petrova et al. 2014, The Cochrane Library [77]]
RRR was used</t>
        </r>
      </text>
    </comment>
    <comment ref="C58" authorId="0" shapeId="0" xr:uid="{00000000-0006-0000-1800-00006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58" authorId="0" shapeId="0" xr:uid="{00000000-0006-0000-1800-00007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8" authorId="0" shapeId="0" xr:uid="{00000000-0006-0000-1800-00007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58" authorId="0" shapeId="0" xr:uid="{00000000-0006-0000-1800-00007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58" authorId="0" shapeId="0" xr:uid="{00000000-0006-0000-1800-00007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58" authorId="0" shapeId="0" xr:uid="{00000000-0006-0000-1800-00007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58" authorId="0" shapeId="0" xr:uid="{00000000-0006-0000-1800-00007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58" authorId="0" shapeId="0" xr:uid="{00000000-0006-0000-1800-00007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58" authorId="0" shapeId="0" xr:uid="{00000000-0006-0000-1800-00007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58" authorId="0" shapeId="0" xr:uid="{00000000-0006-0000-1800-00007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58" authorId="0" shapeId="0" xr:uid="{00000000-0006-0000-1800-00007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58" authorId="0" shapeId="0" xr:uid="{00000000-0006-0000-1800-00007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58" authorId="0" shapeId="0" xr:uid="{00000000-0006-0000-1800-00007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9" authorId="0" shapeId="0" xr:uid="{00000000-0006-0000-1800-00007C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59" authorId="0" shapeId="0" xr:uid="{00000000-0006-0000-1800-00007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59" authorId="0" shapeId="0" xr:uid="{00000000-0006-0000-1800-00007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61" authorId="0" shapeId="0" xr:uid="{00000000-0006-0000-1800-00007F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61" authorId="0" shapeId="0" xr:uid="{00000000-0006-0000-1800-00008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0" authorId="0" shapeId="0" xr:uid="{00000000-0006-0000-1900-000009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0" authorId="0" shapeId="0" xr:uid="{00000000-0006-0000-1900-00000A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0" authorId="0" shapeId="0" xr:uid="{00000000-0006-0000-1900-00000B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0" authorId="0" shapeId="0" xr:uid="{00000000-0006-0000-1900-00000C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2" authorId="0" shapeId="0" xr:uid="{00000000-0006-0000-1900-00000D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2" authorId="0" shapeId="0" xr:uid="{00000000-0006-0000-1900-00000E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2" authorId="0" shapeId="0" xr:uid="{00000000-0006-0000-1900-00000F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2" authorId="0" shapeId="0" xr:uid="{00000000-0006-0000-1900-000010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7" authorId="0" shapeId="0" xr:uid="{00000000-0006-0000-1900-00001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7" authorId="0" shapeId="0" xr:uid="{00000000-0006-0000-1900-00001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7" authorId="0" shapeId="0" xr:uid="{00000000-0006-0000-1900-00001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7" authorId="0" shapeId="0" xr:uid="{00000000-0006-0000-1900-00001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9" authorId="0" shapeId="0" xr:uid="{00000000-0006-0000-1900-00001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9" authorId="0" shapeId="0" xr:uid="{00000000-0006-0000-1900-00001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9" authorId="0" shapeId="0" xr:uid="{00000000-0006-0000-1900-00001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9" authorId="0" shapeId="0" xr:uid="{00000000-0006-0000-1900-00001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47" authorId="0" shapeId="0" xr:uid="{00000000-0006-0000-1A00-00002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47" authorId="0" shapeId="0" xr:uid="{00000000-0006-0000-1A00-00002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47" authorId="0" shapeId="0" xr:uid="{00000000-0006-0000-1A00-00002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47" authorId="0" shapeId="0" xr:uid="{00000000-0006-0000-1A00-00002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3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3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3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53" authorId="1" shapeId="0" xr:uid="{00000000-0006-0000-1A00-00003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  <comment ref="F58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1" authorId="1" shapeId="0" xr:uid="{00000000-0006-0000-1A00-00003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1" authorId="1" shapeId="0" xr:uid="{00000000-0006-0000-1A00-00003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3" authorId="1" shapeId="0" xr:uid="{00000000-0006-0000-1A00-00003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3" authorId="1" shapeId="0" xr:uid="{00000000-0006-0000-1A00-00003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5" authorId="1" shapeId="0" xr:uid="{00000000-0006-0000-1A00-00004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5" authorId="1" shapeId="0" xr:uid="{00000000-0006-0000-1A00-00004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7" authorId="1" shapeId="0" xr:uid="{00000000-0006-0000-1A00-00004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7" authorId="1" shapeId="0" xr:uid="{00000000-0006-0000-1A00-00004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9" authorId="0" shapeId="0" xr:uid="{00000000-0006-0000-1A00-00004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69" authorId="0" shapeId="0" xr:uid="{00000000-0006-0000-1A00-00004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4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71" authorId="0" shapeId="0" xr:uid="{00000000-0006-0000-1A00-00004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73" authorId="0" shapeId="0" xr:uid="{00000000-0006-0000-1A00-00004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73" authorId="0" shapeId="0" xr:uid="{00000000-0006-0000-1A00-00004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73" authorId="0" shapeId="0" xr:uid="{00000000-0006-0000-1A00-00004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75" authorId="0" shapeId="0" xr:uid="{00000000-0006-0000-1A00-00004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75" authorId="0" shapeId="0" xr:uid="{00000000-0006-0000-1A00-00004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75" authorId="0" shapeId="0" xr:uid="{00000000-0006-0000-1A00-00004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77" authorId="0" shapeId="0" xr:uid="{00000000-0006-0000-1A00-00004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79" authorId="0" shapeId="0" xr:uid="{00000000-0006-0000-1A00-00004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81" authorId="0" shapeId="0" xr:uid="{00000000-0006-0000-1A00-00005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99" authorId="0" shapeId="0" xr:uid="{00000000-0006-0000-1A00-00005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99" authorId="0" shapeId="0" xr:uid="{00000000-0006-0000-1A00-00005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99" authorId="0" shapeId="0" xr:uid="{00000000-0006-0000-1A00-00005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99" authorId="0" shapeId="0" xr:uid="{00000000-0006-0000-1A00-00005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99" authorId="0" shapeId="0" xr:uid="{00000000-0006-0000-1A00-00005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02" authorId="0" shapeId="0" xr:uid="{00000000-0006-0000-1A00-00005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02" authorId="0" shapeId="0" xr:uid="{00000000-0006-0000-1A00-00005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02" authorId="0" shapeId="0" xr:uid="{00000000-0006-0000-1A00-00005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02" authorId="0" shapeId="0" xr:uid="{00000000-0006-0000-1A00-00005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02" authorId="0" shapeId="0" xr:uid="{00000000-0006-0000-1A00-00005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04" authorId="0" shapeId="0" xr:uid="{00000000-0006-0000-1A00-00005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04" authorId="0" shapeId="0" xr:uid="{00000000-0006-0000-1A00-00005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04" authorId="0" shapeId="0" xr:uid="{00000000-0006-0000-1A00-00005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04" authorId="0" shapeId="0" xr:uid="{00000000-0006-0000-1A00-00005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04" authorId="0" shapeId="0" xr:uid="{00000000-0006-0000-1A00-00005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06" authorId="0" shapeId="0" xr:uid="{00000000-0006-0000-1A00-00006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06" authorId="0" shapeId="0" xr:uid="{00000000-0006-0000-1A00-00006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06" authorId="0" shapeId="0" xr:uid="{00000000-0006-0000-1A00-00006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06" authorId="0" shapeId="0" xr:uid="{00000000-0006-0000-1A00-00006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06" authorId="0" shapeId="0" xr:uid="{00000000-0006-0000-1A00-00006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08" authorId="1" shapeId="0" xr:uid="{00000000-0006-0000-1A00-00006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  <comment ref="F113" authorId="0" shapeId="0" xr:uid="{00000000-0006-0000-1A00-00006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113" authorId="0" shapeId="0" xr:uid="{00000000-0006-0000-1A00-00006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113" authorId="0" shapeId="0" xr:uid="{00000000-0006-0000-1A00-00006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114" authorId="0" shapeId="0" xr:uid="{00000000-0006-0000-1A00-00006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114" authorId="0" shapeId="0" xr:uid="{00000000-0006-0000-1A00-00006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114" authorId="0" shapeId="0" xr:uid="{00000000-0006-0000-1A00-00006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116" authorId="1" shapeId="0" xr:uid="{00000000-0006-0000-1A00-00006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6" authorId="1" shapeId="0" xr:uid="{00000000-0006-0000-1A00-00006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18" authorId="1" shapeId="0" xr:uid="{00000000-0006-0000-1A00-00006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8" authorId="1" shapeId="0" xr:uid="{00000000-0006-0000-1A00-00006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20" authorId="1" shapeId="0" xr:uid="{00000000-0006-0000-1A00-00007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0" authorId="1" shapeId="0" xr:uid="{00000000-0006-0000-1A00-00007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2" authorId="1" shapeId="0" xr:uid="{00000000-0006-0000-1A00-00007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2" authorId="1" shapeId="0" xr:uid="{00000000-0006-0000-1A00-00007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4" authorId="0" shapeId="0" xr:uid="{00000000-0006-0000-1A00-00007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24" authorId="0" shapeId="0" xr:uid="{00000000-0006-0000-1A00-00007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26" authorId="0" shapeId="0" xr:uid="{00000000-0006-0000-1A00-00007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26" authorId="0" shapeId="0" xr:uid="{00000000-0006-0000-1A00-00007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28" authorId="0" shapeId="0" xr:uid="{00000000-0006-0000-1A00-00007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28" authorId="0" shapeId="0" xr:uid="{00000000-0006-0000-1A00-00007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128" authorId="0" shapeId="0" xr:uid="{00000000-0006-0000-1A00-00007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130" authorId="0" shapeId="0" xr:uid="{00000000-0006-0000-1A00-00007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130" authorId="0" shapeId="0" xr:uid="{00000000-0006-0000-1A00-00007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130" authorId="0" shapeId="0" xr:uid="{00000000-0006-0000-1A00-00007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132" authorId="0" shapeId="0" xr:uid="{00000000-0006-0000-1A00-00007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4" authorId="0" shapeId="0" xr:uid="{00000000-0006-0000-1A00-00007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6" authorId="0" shapeId="0" xr:uid="{00000000-0006-0000-1A00-00008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54" authorId="0" shapeId="0" xr:uid="{00000000-0006-0000-1A00-00008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154" authorId="0" shapeId="0" xr:uid="{00000000-0006-0000-1A00-00008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154" authorId="0" shapeId="0" xr:uid="{00000000-0006-0000-1A00-00008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154" authorId="0" shapeId="0" xr:uid="{00000000-0006-0000-1A00-00008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154" authorId="0" shapeId="0" xr:uid="{00000000-0006-0000-1A00-00008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57" authorId="0" shapeId="0" xr:uid="{00000000-0006-0000-1A00-00008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57" authorId="0" shapeId="0" xr:uid="{00000000-0006-0000-1A00-00008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57" authorId="0" shapeId="0" xr:uid="{00000000-0006-0000-1A00-00008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57" authorId="0" shapeId="0" xr:uid="{00000000-0006-0000-1A00-00008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57" authorId="0" shapeId="0" xr:uid="{00000000-0006-0000-1A00-00008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59" authorId="0" shapeId="0" xr:uid="{00000000-0006-0000-1A00-00008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59" authorId="0" shapeId="0" xr:uid="{00000000-0006-0000-1A00-00008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59" authorId="0" shapeId="0" xr:uid="{00000000-0006-0000-1A00-00008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59" authorId="0" shapeId="0" xr:uid="{00000000-0006-0000-1A00-00008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59" authorId="0" shapeId="0" xr:uid="{00000000-0006-0000-1A00-00008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61" authorId="0" shapeId="0" xr:uid="{00000000-0006-0000-1A00-00009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61" authorId="0" shapeId="0" xr:uid="{00000000-0006-0000-1A00-00009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61" authorId="0" shapeId="0" xr:uid="{00000000-0006-0000-1A00-00009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61" authorId="0" shapeId="0" xr:uid="{00000000-0006-0000-1A00-00009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61" authorId="0" shapeId="0" xr:uid="{00000000-0006-0000-1A00-00009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63" authorId="1" shapeId="0" xr:uid="{00000000-0006-0000-1A00-000095000000}">
      <text>
        <r>
          <rPr>
            <sz val="10"/>
            <color rgb="FF000000"/>
            <rFont val="Arial"/>
          </rPr>
          <t>Nick Scott:
RRR = 0.49 (0.29-0.82) for mortality due to prematurity [Lawn et al. 2010, I J Emi 2010[67]]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12" authorId="0" shapeId="0" xr:uid="{00000000-0006-0000-1B00-00000D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12" authorId="0" shapeId="0" xr:uid="{00000000-0006-0000-1B00-00000E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12" authorId="0" shapeId="0" xr:uid="{00000000-0006-0000-1B00-00000F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12" authorId="0" shapeId="0" xr:uid="{00000000-0006-0000-1B00-000010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21" authorId="0" shapeId="0" xr:uid="{00000000-0006-0000-1B00-00001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21" authorId="0" shapeId="0" xr:uid="{00000000-0006-0000-1B00-00001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21" authorId="0" shapeId="0" xr:uid="{00000000-0006-0000-1B00-00001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21" authorId="0" shapeId="0" xr:uid="{00000000-0006-0000-1B00-00001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<sst xmlns="http://schemas.openxmlformats.org/spreadsheetml/2006/main" count="2092" uniqueCount="341">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</sst>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25" zoomScaleNormal="100" workbookViewId="0">
      <selection activeCell="C59" sqref="C59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0</v>
      </c>
      <c r="B1" s="29" t="s">
        <v>1</v>
      </c>
      <c r="C1" s="29" t="s">
        <v>2</v>
      </c>
    </row>
    <row r="2" spans="1:3" ht="15.9" customHeight="1" x14ac:dyDescent="0.3">
      <c r="A2" s="8" t="s">
        <v>3</v>
      </c>
      <c r="B2" s="29"/>
      <c r="C2" s="29"/>
    </row>
    <row r="3" spans="1:3" ht="15.9" customHeight="1" x14ac:dyDescent="0.3">
      <c r="A3" s="1"/>
      <c r="B3" s="5" t="s">
        <v>4</v>
      </c>
      <c r="C3" s="41">
        <v>2021</v>
      </c>
    </row>
    <row r="4" spans="1:3" ht="15.9" customHeight="1" x14ac:dyDescent="0.3">
      <c r="A4" s="1"/>
      <c r="B4" s="5" t="s">
        <v>5</v>
      </c>
      <c r="C4" s="42">
        <v>2030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88566.5166015625</v>
      </c>
    </row>
    <row r="8" spans="1:3" ht="15" customHeight="1" x14ac:dyDescent="0.25">
      <c r="B8" s="5" t="s">
        <v>8</v>
      </c>
      <c r="C8" s="44">
        <v>1.4E-2</v>
      </c>
    </row>
    <row r="9" spans="1:3" ht="15" customHeight="1" x14ac:dyDescent="0.25">
      <c r="B9" s="5" t="s">
        <v>9</v>
      </c>
      <c r="C9" s="45">
        <v>0.01</v>
      </c>
    </row>
    <row r="10" spans="1:3" ht="15" customHeight="1" x14ac:dyDescent="0.25">
      <c r="B10" s="5" t="s">
        <v>10</v>
      </c>
      <c r="C10" s="45">
        <v>0.87981307983398394</v>
      </c>
    </row>
    <row r="11" spans="1:3" ht="15" customHeight="1" x14ac:dyDescent="0.25">
      <c r="B11" s="5" t="s">
        <v>11</v>
      </c>
      <c r="C11" s="45">
        <v>0.93599999999999994</v>
      </c>
    </row>
    <row r="12" spans="1:3" ht="15" customHeight="1" x14ac:dyDescent="0.25">
      <c r="B12" s="5" t="s">
        <v>12</v>
      </c>
      <c r="C12" s="45">
        <v>0.72</v>
      </c>
    </row>
    <row r="13" spans="1:3" ht="15" customHeight="1" x14ac:dyDescent="0.25">
      <c r="B13" s="5" t="s">
        <v>13</v>
      </c>
      <c r="C13" s="45">
        <v>0.10299999999999999</v>
      </c>
    </row>
    <row r="14" spans="1:3" ht="15" customHeight="1" x14ac:dyDescent="0.25">
      <c r="B14" s="8"/>
    </row>
    <row r="15" spans="1:3" ht="15" customHeight="1" x14ac:dyDescent="0.3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0.1032</v>
      </c>
    </row>
    <row r="24" spans="1:3" ht="15" customHeight="1" x14ac:dyDescent="0.25">
      <c r="B24" s="15" t="s">
        <v>22</v>
      </c>
      <c r="C24" s="45">
        <v>0.55130000000000001</v>
      </c>
    </row>
    <row r="25" spans="1:3" ht="15" customHeight="1" x14ac:dyDescent="0.25">
      <c r="B25" s="15" t="s">
        <v>23</v>
      </c>
      <c r="C25" s="45">
        <v>0.28949999999999998</v>
      </c>
    </row>
    <row r="26" spans="1:3" ht="15" customHeight="1" x14ac:dyDescent="0.25">
      <c r="B26" s="15" t="s">
        <v>24</v>
      </c>
      <c r="C26" s="45">
        <v>5.6000000000000008E-2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0.35675533525383901</v>
      </c>
    </row>
    <row r="30" spans="1:3" ht="14.25" customHeight="1" x14ac:dyDescent="0.25">
      <c r="B30" s="25" t="s">
        <v>27</v>
      </c>
      <c r="C30" s="99">
        <v>6.5910586704521698E-2</v>
      </c>
    </row>
    <row r="31" spans="1:3" ht="14.25" customHeight="1" x14ac:dyDescent="0.25">
      <c r="B31" s="25" t="s">
        <v>28</v>
      </c>
      <c r="C31" s="99">
        <v>9.262041217609189E-2</v>
      </c>
    </row>
    <row r="32" spans="1:3" ht="14.25" customHeight="1" x14ac:dyDescent="0.25">
      <c r="B32" s="25" t="s">
        <v>29</v>
      </c>
      <c r="C32" s="99">
        <v>0.48471366586554798</v>
      </c>
    </row>
    <row r="33" spans="1:5" ht="13" customHeight="1" x14ac:dyDescent="0.25">
      <c r="B33" s="27" t="s">
        <v>30</v>
      </c>
      <c r="C33" s="48">
        <f>SUM(C29:C32)</f>
        <v>1.0000000000000004</v>
      </c>
    </row>
    <row r="34" spans="1:5" ht="15" customHeight="1" x14ac:dyDescent="0.25"/>
    <row r="35" spans="1:5" ht="15" customHeight="1" x14ac:dyDescent="0.3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10.8447422944596</v>
      </c>
    </row>
    <row r="38" spans="1:5" ht="15" customHeight="1" x14ac:dyDescent="0.25">
      <c r="B38" s="11" t="s">
        <v>34</v>
      </c>
      <c r="C38" s="43">
        <v>21.677014305696702</v>
      </c>
      <c r="D38" s="12"/>
      <c r="E38" s="13"/>
    </row>
    <row r="39" spans="1:5" ht="15" customHeight="1" x14ac:dyDescent="0.25">
      <c r="B39" s="11" t="s">
        <v>35</v>
      </c>
      <c r="C39" s="43">
        <v>25.693275133847401</v>
      </c>
      <c r="D39" s="12"/>
      <c r="E39" s="12"/>
    </row>
    <row r="40" spans="1:5" ht="15" customHeight="1" x14ac:dyDescent="0.25">
      <c r="B40" s="11" t="s">
        <v>36</v>
      </c>
      <c r="C40" s="100">
        <v>0.34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8.5763926910000006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6.0983000000000001E-3</v>
      </c>
      <c r="D45" s="12"/>
    </row>
    <row r="46" spans="1:5" ht="15.75" customHeight="1" x14ac:dyDescent="0.25">
      <c r="B46" s="11" t="s">
        <v>41</v>
      </c>
      <c r="C46" s="45">
        <v>7.2093400000000002E-2</v>
      </c>
      <c r="D46" s="12"/>
    </row>
    <row r="47" spans="1:5" ht="15.75" customHeight="1" x14ac:dyDescent="0.25">
      <c r="B47" s="11" t="s">
        <v>42</v>
      </c>
      <c r="C47" s="45">
        <v>8.8601899999999997E-2</v>
      </c>
      <c r="D47" s="12"/>
      <c r="E47" s="13"/>
    </row>
    <row r="48" spans="1:5" ht="15" customHeight="1" x14ac:dyDescent="0.25">
      <c r="B48" s="11" t="s">
        <v>43</v>
      </c>
      <c r="C48" s="46">
        <v>0.83320640000000001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100">
        <v>2.2000000000000002</v>
      </c>
      <c r="D51" s="12"/>
    </row>
    <row r="52" spans="1:4" ht="15" customHeight="1" x14ac:dyDescent="0.25">
      <c r="B52" s="11" t="s">
        <v>46</v>
      </c>
      <c r="C52" s="100">
        <v>2.2000000000000002</v>
      </c>
    </row>
    <row r="53" spans="1:4" ht="15.75" customHeight="1" x14ac:dyDescent="0.25">
      <c r="B53" s="11" t="s">
        <v>47</v>
      </c>
      <c r="C53" s="100">
        <v>2.2000000000000002</v>
      </c>
    </row>
    <row r="54" spans="1:4" ht="15.75" customHeight="1" x14ac:dyDescent="0.25">
      <c r="B54" s="11" t="s">
        <v>48</v>
      </c>
      <c r="C54" s="100">
        <v>2.2000000000000002</v>
      </c>
    </row>
    <row r="55" spans="1:4" ht="15.75" customHeight="1" x14ac:dyDescent="0.25">
      <c r="B55" s="11" t="s">
        <v>49</v>
      </c>
      <c r="C55" s="100">
        <v>2.2000000000000002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5">
        <v>2.1363636363636359E-2</v>
      </c>
    </row>
    <row r="59" spans="1:4" ht="15.75" customHeight="1" x14ac:dyDescent="0.25">
      <c r="B59" s="11" t="s">
        <v>52</v>
      </c>
      <c r="C59" s="45">
        <v>0.48294500000000001</v>
      </c>
    </row>
    <row r="60" spans="1:4" ht="15.75" customHeight="1" x14ac:dyDescent="0.25">
      <c r="B60" s="11" t="s">
        <v>53</v>
      </c>
      <c r="C60" s="45">
        <v>4.5999999999999999E-2</v>
      </c>
    </row>
    <row r="61" spans="1:4" ht="15.75" customHeight="1" x14ac:dyDescent="0.25">
      <c r="B61" s="11" t="s">
        <v>54</v>
      </c>
      <c r="C61" s="45">
        <v>1.4E-2</v>
      </c>
    </row>
    <row r="62" spans="1:4" ht="15.75" customHeight="1" x14ac:dyDescent="0.25">
      <c r="B62" s="11" t="s">
        <v>55</v>
      </c>
      <c r="C62" s="44">
        <v>0.14599999999999999</v>
      </c>
    </row>
    <row r="63" spans="1:4" ht="15.75" customHeight="1" x14ac:dyDescent="0.3">
      <c r="A63" s="4"/>
    </row>
  </sheetData>
  <sheetProtection algorithmName="SHA-512" hashValue="yhO3A/7ogScQKKv7lXUGC9CoVyICjceFFRjTsMohTK8bhTOO/yn0Gnugo/XyoVDeI5ka0GSLXjJ6Q2MNf7pyqg==" saltValue="fYAoZXD7m2jFSdfe+sbAm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D16" sqref="D16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2021</v>
      </c>
      <c r="B2" s="49">
        <v>16647.7696</v>
      </c>
      <c r="C2" s="49">
        <v>39000</v>
      </c>
      <c r="D2" s="49">
        <v>70000</v>
      </c>
      <c r="E2" s="49">
        <v>66000</v>
      </c>
      <c r="F2" s="49">
        <v>55000</v>
      </c>
      <c r="G2" s="17">
        <f t="shared" ref="G2:G11" si="0">C2+D2+E2+F2</f>
        <v>230000</v>
      </c>
      <c r="H2" s="17">
        <f t="shared" ref="H2:H11" si="1">(B2 + stillbirth*B2/(1000-stillbirth))/(1-abortion)</f>
        <v>19081.571046455618</v>
      </c>
      <c r="I2" s="17">
        <f t="shared" ref="I2:I11" si="2">G2-H2</f>
        <v>210918.42895354438</v>
      </c>
    </row>
    <row r="3" spans="1:9" ht="15.75" customHeight="1" x14ac:dyDescent="0.25">
      <c r="A3" s="5">
        <f t="shared" ref="A3:A40" si="3">IF($A$2+ROW(A3)-2&lt;=end_year,A2+1,"")</f>
        <v>2022</v>
      </c>
      <c r="B3" s="49">
        <v>16527.139200000001</v>
      </c>
      <c r="C3" s="50">
        <v>39000</v>
      </c>
      <c r="D3" s="50">
        <v>70000</v>
      </c>
      <c r="E3" s="50">
        <v>66000</v>
      </c>
      <c r="F3" s="50">
        <v>57000</v>
      </c>
      <c r="G3" s="17">
        <f t="shared" si="0"/>
        <v>232000</v>
      </c>
      <c r="H3" s="17">
        <f t="shared" si="1"/>
        <v>18943.305224470532</v>
      </c>
      <c r="I3" s="17">
        <f t="shared" si="2"/>
        <v>213056.69477552947</v>
      </c>
    </row>
    <row r="4" spans="1:9" ht="15.75" customHeight="1" x14ac:dyDescent="0.25">
      <c r="A4" s="5">
        <f t="shared" si="3"/>
        <v>2023</v>
      </c>
      <c r="B4" s="49">
        <v>16404.264800000001</v>
      </c>
      <c r="C4" s="50">
        <v>40000</v>
      </c>
      <c r="D4" s="50">
        <v>70000</v>
      </c>
      <c r="E4" s="50">
        <v>65000</v>
      </c>
      <c r="F4" s="50">
        <v>59000</v>
      </c>
      <c r="G4" s="17">
        <f t="shared" si="0"/>
        <v>234000</v>
      </c>
      <c r="H4" s="17">
        <f t="shared" si="1"/>
        <v>18802.467343497541</v>
      </c>
      <c r="I4" s="17">
        <f t="shared" si="2"/>
        <v>215197.53265650244</v>
      </c>
    </row>
    <row r="5" spans="1:9" ht="15.75" customHeight="1" x14ac:dyDescent="0.25">
      <c r="A5" s="5">
        <f t="shared" si="3"/>
        <v>2024</v>
      </c>
      <c r="B5" s="49">
        <v>16279.1464</v>
      </c>
      <c r="C5" s="50">
        <v>41000</v>
      </c>
      <c r="D5" s="50">
        <v>70000</v>
      </c>
      <c r="E5" s="50">
        <v>66000</v>
      </c>
      <c r="F5" s="50">
        <v>59000</v>
      </c>
      <c r="G5" s="17">
        <f t="shared" si="0"/>
        <v>236000</v>
      </c>
      <c r="H5" s="17">
        <f t="shared" si="1"/>
        <v>18659.057403536641</v>
      </c>
      <c r="I5" s="17">
        <f t="shared" si="2"/>
        <v>217340.94259646337</v>
      </c>
    </row>
    <row r="6" spans="1:9" ht="15.75" customHeight="1" x14ac:dyDescent="0.25">
      <c r="A6" s="5">
        <f t="shared" si="3"/>
        <v>2025</v>
      </c>
      <c r="B6" s="49">
        <v>16134.8</v>
      </c>
      <c r="C6" s="50">
        <v>42000</v>
      </c>
      <c r="D6" s="50">
        <v>69000</v>
      </c>
      <c r="E6" s="50">
        <v>65000</v>
      </c>
      <c r="F6" s="50">
        <v>60000</v>
      </c>
      <c r="G6" s="17">
        <f t="shared" si="0"/>
        <v>236000</v>
      </c>
      <c r="H6" s="17">
        <f t="shared" si="1"/>
        <v>18493.608448326442</v>
      </c>
      <c r="I6" s="17">
        <f t="shared" si="2"/>
        <v>217506.39155167356</v>
      </c>
    </row>
    <row r="7" spans="1:9" ht="15.75" customHeight="1" x14ac:dyDescent="0.25">
      <c r="A7" s="5">
        <f t="shared" si="3"/>
        <v>2026</v>
      </c>
      <c r="B7" s="49">
        <v>16081.627</v>
      </c>
      <c r="C7" s="50">
        <v>42000</v>
      </c>
      <c r="D7" s="50">
        <v>70000</v>
      </c>
      <c r="E7" s="50">
        <v>64000</v>
      </c>
      <c r="F7" s="50">
        <v>61000</v>
      </c>
      <c r="G7" s="17">
        <f t="shared" si="0"/>
        <v>237000</v>
      </c>
      <c r="H7" s="17">
        <f t="shared" si="1"/>
        <v>18432.661883012781</v>
      </c>
      <c r="I7" s="17">
        <f t="shared" si="2"/>
        <v>218567.33811698723</v>
      </c>
    </row>
    <row r="8" spans="1:9" ht="15.75" customHeight="1" x14ac:dyDescent="0.25">
      <c r="A8" s="5">
        <f t="shared" si="3"/>
        <v>2027</v>
      </c>
      <c r="B8" s="49">
        <v>16010.313200000001</v>
      </c>
      <c r="C8" s="50">
        <v>42000</v>
      </c>
      <c r="D8" s="50">
        <v>71000</v>
      </c>
      <c r="E8" s="50">
        <v>65000</v>
      </c>
      <c r="F8" s="50">
        <v>62000</v>
      </c>
      <c r="G8" s="17">
        <f t="shared" si="0"/>
        <v>240000</v>
      </c>
      <c r="H8" s="17">
        <f t="shared" si="1"/>
        <v>18350.922444397969</v>
      </c>
      <c r="I8" s="17">
        <f t="shared" si="2"/>
        <v>221649.07755560204</v>
      </c>
    </row>
    <row r="9" spans="1:9" ht="15.75" customHeight="1" x14ac:dyDescent="0.25">
      <c r="A9" s="5">
        <f t="shared" si="3"/>
        <v>2028</v>
      </c>
      <c r="B9" s="49">
        <v>15937.8426</v>
      </c>
      <c r="C9" s="50">
        <v>42000</v>
      </c>
      <c r="D9" s="50">
        <v>73000</v>
      </c>
      <c r="E9" s="50">
        <v>65000</v>
      </c>
      <c r="F9" s="50">
        <v>62000</v>
      </c>
      <c r="G9" s="17">
        <f t="shared" si="0"/>
        <v>242000</v>
      </c>
      <c r="H9" s="17">
        <f t="shared" si="1"/>
        <v>18267.857088743403</v>
      </c>
      <c r="I9" s="17">
        <f t="shared" si="2"/>
        <v>223732.14291125658</v>
      </c>
    </row>
    <row r="10" spans="1:9" ht="15.75" customHeight="1" x14ac:dyDescent="0.25">
      <c r="A10" s="5">
        <f t="shared" si="3"/>
        <v>2029</v>
      </c>
      <c r="B10" s="49">
        <v>15864.215200000001</v>
      </c>
      <c r="C10" s="50">
        <v>41000</v>
      </c>
      <c r="D10" s="50">
        <v>74000</v>
      </c>
      <c r="E10" s="50">
        <v>64000</v>
      </c>
      <c r="F10" s="50">
        <v>62000</v>
      </c>
      <c r="G10" s="17">
        <f t="shared" si="0"/>
        <v>241000</v>
      </c>
      <c r="H10" s="17">
        <f t="shared" si="1"/>
        <v>18183.465816049084</v>
      </c>
      <c r="I10" s="17">
        <f t="shared" si="2"/>
        <v>222816.53418395092</v>
      </c>
    </row>
    <row r="11" spans="1:9" ht="15.75" customHeight="1" x14ac:dyDescent="0.25">
      <c r="A11" s="5">
        <f t="shared" si="3"/>
        <v>2030</v>
      </c>
      <c r="B11" s="49">
        <v>15773.17</v>
      </c>
      <c r="C11" s="50">
        <v>41000</v>
      </c>
      <c r="D11" s="50">
        <v>75000</v>
      </c>
      <c r="E11" s="50">
        <v>64000</v>
      </c>
      <c r="F11" s="50">
        <v>61000</v>
      </c>
      <c r="G11" s="17">
        <f t="shared" si="0"/>
        <v>241000</v>
      </c>
      <c r="H11" s="17">
        <f t="shared" si="1"/>
        <v>18079.110368203459</v>
      </c>
      <c r="I11" s="17">
        <f t="shared" si="2"/>
        <v>222920.88963179654</v>
      </c>
    </row>
    <row r="12" spans="1:9" ht="15.75" customHeight="1" x14ac:dyDescent="0.25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5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b3zuR9hAPFKmhyUPgxSBwpwr0L8i4PvaW2CunfDaw9hwq0s+u3YPrQFKBT82DJ5eJ424U2PP38ojcCo53DV0Pw==" saltValue="mehRfJSA9N1k+XdaDNGXRA==" spinCount="100000" sheet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"Percentage of deaths in baseline year ("&amp;start_year&amp;") attributable to cause"</f>
        <v>Percentage of deaths in baseline year (2021) attributable to cause</v>
      </c>
      <c r="B1" s="29"/>
      <c r="C1" s="29"/>
      <c r="D1" s="29"/>
      <c r="E1" s="29"/>
      <c r="F1" s="29"/>
    </row>
    <row r="2" spans="1:8" ht="27.75" customHeight="1" x14ac:dyDescent="0.3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5">
        <v>0</v>
      </c>
    </row>
    <row r="4" spans="1:8" ht="15.75" customHeight="1" x14ac:dyDescent="0.25">
      <c r="B4" s="19" t="s">
        <v>69</v>
      </c>
      <c r="C4" s="101">
        <v>9.9353163278659798E-2</v>
      </c>
    </row>
    <row r="5" spans="1:8" ht="15.75" customHeight="1" x14ac:dyDescent="0.25">
      <c r="B5" s="19" t="s">
        <v>70</v>
      </c>
      <c r="C5" s="101">
        <v>5.0241596018254613E-2</v>
      </c>
    </row>
    <row r="6" spans="1:8" ht="15.75" customHeight="1" x14ac:dyDescent="0.25">
      <c r="B6" s="19" t="s">
        <v>71</v>
      </c>
      <c r="C6" s="101">
        <v>0.1415093355685767</v>
      </c>
    </row>
    <row r="7" spans="1:8" ht="15.75" customHeight="1" x14ac:dyDescent="0.25">
      <c r="B7" s="19" t="s">
        <v>72</v>
      </c>
      <c r="C7" s="101">
        <v>0.38484179193746632</v>
      </c>
    </row>
    <row r="8" spans="1:8" ht="15.75" customHeight="1" x14ac:dyDescent="0.25">
      <c r="B8" s="19" t="s">
        <v>73</v>
      </c>
      <c r="C8" s="101">
        <v>6.2903561434464331E-3</v>
      </c>
    </row>
    <row r="9" spans="1:8" ht="15.75" customHeight="1" x14ac:dyDescent="0.25">
      <c r="B9" s="19" t="s">
        <v>74</v>
      </c>
      <c r="C9" s="101">
        <v>0.21097479329807811</v>
      </c>
    </row>
    <row r="10" spans="1:8" ht="15.75" customHeight="1" x14ac:dyDescent="0.25">
      <c r="B10" s="19" t="s">
        <v>75</v>
      </c>
      <c r="C10" s="101">
        <v>0.10678896375551809</v>
      </c>
    </row>
    <row r="11" spans="1:8" ht="15.75" customHeight="1" x14ac:dyDescent="0.25">
      <c r="B11" s="27" t="s">
        <v>30</v>
      </c>
      <c r="C11" s="48">
        <f>SUM(C3:C10)</f>
        <v>1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76</v>
      </c>
      <c r="B13" s="29" t="s">
        <v>66</v>
      </c>
      <c r="C13" s="102" t="s">
        <v>77</v>
      </c>
      <c r="D13" s="102" t="s">
        <v>78</v>
      </c>
      <c r="E13" s="102" t="s">
        <v>79</v>
      </c>
      <c r="F13" s="102" t="s">
        <v>80</v>
      </c>
      <c r="G13" s="19"/>
    </row>
    <row r="14" spans="1:8" ht="15.75" customHeight="1" x14ac:dyDescent="0.25">
      <c r="B14" s="19" t="s">
        <v>81</v>
      </c>
      <c r="C14" s="55">
        <v>6.4254809215247358E-2</v>
      </c>
      <c r="D14" s="55">
        <v>6.4254809215247358E-2</v>
      </c>
      <c r="E14" s="55">
        <v>6.4254809215247358E-2</v>
      </c>
      <c r="F14" s="55">
        <v>6.4254809215247358E-2</v>
      </c>
    </row>
    <row r="15" spans="1:8" ht="15.75" customHeight="1" x14ac:dyDescent="0.25">
      <c r="B15" s="19" t="s">
        <v>82</v>
      </c>
      <c r="C15" s="101">
        <v>0.18166161339191</v>
      </c>
      <c r="D15" s="101">
        <v>0.18166161339191</v>
      </c>
      <c r="E15" s="101">
        <v>0.18166161339191</v>
      </c>
      <c r="F15" s="101">
        <v>0.18166161339191</v>
      </c>
    </row>
    <row r="16" spans="1:8" ht="15.75" customHeight="1" x14ac:dyDescent="0.25">
      <c r="B16" s="19" t="s">
        <v>83</v>
      </c>
      <c r="C16" s="101">
        <v>3.3771856349615367E-2</v>
      </c>
      <c r="D16" s="101">
        <v>3.3771856349615367E-2</v>
      </c>
      <c r="E16" s="101">
        <v>3.3771856349615367E-2</v>
      </c>
      <c r="F16" s="101">
        <v>3.3771856349615367E-2</v>
      </c>
    </row>
    <row r="17" spans="1:8" ht="15.75" customHeight="1" x14ac:dyDescent="0.25">
      <c r="B17" s="19" t="s">
        <v>84</v>
      </c>
      <c r="C17" s="101">
        <v>0</v>
      </c>
      <c r="D17" s="101">
        <v>0</v>
      </c>
      <c r="E17" s="101">
        <v>0</v>
      </c>
      <c r="F17" s="101">
        <v>0</v>
      </c>
    </row>
    <row r="18" spans="1:8" ht="15.75" customHeight="1" x14ac:dyDescent="0.25">
      <c r="B18" s="19" t="s">
        <v>85</v>
      </c>
      <c r="C18" s="101">
        <v>0</v>
      </c>
      <c r="D18" s="101">
        <v>0</v>
      </c>
      <c r="E18" s="101">
        <v>0</v>
      </c>
      <c r="F18" s="101">
        <v>0</v>
      </c>
    </row>
    <row r="19" spans="1:8" ht="15.75" customHeight="1" x14ac:dyDescent="0.25">
      <c r="B19" s="19" t="s">
        <v>86</v>
      </c>
      <c r="C19" s="101">
        <v>1.262563521246202E-2</v>
      </c>
      <c r="D19" s="101">
        <v>1.262563521246202E-2</v>
      </c>
      <c r="E19" s="101">
        <v>1.262563521246202E-2</v>
      </c>
      <c r="F19" s="101">
        <v>1.262563521246202E-2</v>
      </c>
    </row>
    <row r="20" spans="1:8" ht="15.75" customHeight="1" x14ac:dyDescent="0.25">
      <c r="B20" s="19" t="s">
        <v>87</v>
      </c>
      <c r="C20" s="101">
        <v>1.29659420249579E-2</v>
      </c>
      <c r="D20" s="101">
        <v>1.29659420249579E-2</v>
      </c>
      <c r="E20" s="101">
        <v>1.29659420249579E-2</v>
      </c>
      <c r="F20" s="101">
        <v>1.29659420249579E-2</v>
      </c>
    </row>
    <row r="21" spans="1:8" ht="15.75" customHeight="1" x14ac:dyDescent="0.25">
      <c r="B21" s="19" t="s">
        <v>88</v>
      </c>
      <c r="C21" s="101">
        <v>0.23861358227872059</v>
      </c>
      <c r="D21" s="101">
        <v>0.23861358227872059</v>
      </c>
      <c r="E21" s="101">
        <v>0.23861358227872059</v>
      </c>
      <c r="F21" s="101">
        <v>0.23861358227872059</v>
      </c>
    </row>
    <row r="22" spans="1:8" ht="15.75" customHeight="1" x14ac:dyDescent="0.25">
      <c r="B22" s="19" t="s">
        <v>89</v>
      </c>
      <c r="C22" s="101">
        <v>0.45610656152708678</v>
      </c>
      <c r="D22" s="101">
        <v>0.45610656152708678</v>
      </c>
      <c r="E22" s="101">
        <v>0.45610656152708678</v>
      </c>
      <c r="F22" s="101">
        <v>0.45610656152708678</v>
      </c>
    </row>
    <row r="23" spans="1:8" ht="15.75" customHeight="1" x14ac:dyDescent="0.25">
      <c r="B23" s="27" t="s">
        <v>30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5">
        <v>3.8186174000000003E-2</v>
      </c>
    </row>
    <row r="27" spans="1:8" ht="15.75" customHeight="1" x14ac:dyDescent="0.25">
      <c r="B27" s="19" t="s">
        <v>92</v>
      </c>
      <c r="C27" s="101">
        <v>3.5979345000000003E-2</v>
      </c>
    </row>
    <row r="28" spans="1:8" ht="15.75" customHeight="1" x14ac:dyDescent="0.25">
      <c r="B28" s="19" t="s">
        <v>93</v>
      </c>
      <c r="C28" s="101">
        <v>0.17918920699999999</v>
      </c>
    </row>
    <row r="29" spans="1:8" ht="15.75" customHeight="1" x14ac:dyDescent="0.25">
      <c r="B29" s="19" t="s">
        <v>94</v>
      </c>
      <c r="C29" s="101">
        <v>9.3383905000000003E-2</v>
      </c>
    </row>
    <row r="30" spans="1:8" ht="15.75" customHeight="1" x14ac:dyDescent="0.25">
      <c r="B30" s="19" t="s">
        <v>95</v>
      </c>
      <c r="C30" s="101">
        <v>4.2695289999999983E-2</v>
      </c>
    </row>
    <row r="31" spans="1:8" ht="15.75" customHeight="1" x14ac:dyDescent="0.25">
      <c r="B31" s="19" t="s">
        <v>96</v>
      </c>
      <c r="C31" s="101">
        <v>0.135273369</v>
      </c>
    </row>
    <row r="32" spans="1:8" ht="15.75" customHeight="1" x14ac:dyDescent="0.25">
      <c r="B32" s="19" t="s">
        <v>97</v>
      </c>
      <c r="C32" s="101">
        <v>0.18705686599999999</v>
      </c>
    </row>
    <row r="33" spans="2:3" ht="15.75" customHeight="1" x14ac:dyDescent="0.25">
      <c r="B33" s="19" t="s">
        <v>98</v>
      </c>
      <c r="C33" s="101">
        <v>0.13805392899999999</v>
      </c>
    </row>
    <row r="34" spans="2:3" ht="15.75" customHeight="1" x14ac:dyDescent="0.25">
      <c r="B34" s="19" t="s">
        <v>99</v>
      </c>
      <c r="C34" s="101">
        <v>0.150181916</v>
      </c>
    </row>
    <row r="35" spans="2:3" ht="15.75" customHeight="1" x14ac:dyDescent="0.25">
      <c r="B35" s="27" t="s">
        <v>30</v>
      </c>
      <c r="C35" s="48">
        <f>SUM(C26:C34)</f>
        <v>1.0000000009999999</v>
      </c>
    </row>
  </sheetData>
  <sheetProtection algorithmName="SHA-512" hashValue="sadLWueMPDmmVn6pA3hrJfCDmcHMjth0IA+NA9TpB2oknhku+/645RXJMb8ll6atkV5VLDi27zVULFpTC00pqw==" saltValue="rtY/nqRgyaBwNxtbxiN70A==" spinCount="100000" sheet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F11" sqref="F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0.475058054954691</v>
      </c>
      <c r="D2" s="52">
        <f>IFERROR(1-_xlfn.NORM.DIST(_xlfn.NORM.INV(SUM(D4:D5), 0, 1) + 1, 0, 1, TRUE), "")</f>
        <v>0.475058054954691</v>
      </c>
      <c r="E2" s="52">
        <f>IFERROR(1-_xlfn.NORM.DIST(_xlfn.NORM.INV(SUM(E4:E5), 0, 1) + 1, 0, 1, TRUE), "")</f>
        <v>0.43360856792538005</v>
      </c>
      <c r="F2" s="52">
        <f>IFERROR(1-_xlfn.NORM.DIST(_xlfn.NORM.INV(SUM(F4:F5), 0, 1) + 1, 0, 1, TRUE), "")</f>
        <v>0.25352656323337064</v>
      </c>
      <c r="G2" s="52">
        <f>IFERROR(1-_xlfn.NORM.DIST(_xlfn.NORM.INV(SUM(G4:G5), 0, 1) + 1, 0, 1, TRUE), "")</f>
        <v>0.2216194680768302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0.35067555891294439</v>
      </c>
      <c r="D3" s="52">
        <f>IFERROR(_xlfn.NORM.DIST(_xlfn.NORM.INV(SUM(D4:D5), 0, 1) + 1, 0, 1, TRUE) - SUM(D4:D5), "")</f>
        <v>0.35067555891294439</v>
      </c>
      <c r="E3" s="52">
        <f>IFERROR(_xlfn.NORM.DIST(_xlfn.NORM.INV(SUM(E4:E5), 0, 1) + 1, 0, 1, TRUE) - SUM(E4:E5), "")</f>
        <v>0.36391426034255342</v>
      </c>
      <c r="F3" s="52">
        <f>IFERROR(_xlfn.NORM.DIST(_xlfn.NORM.INV(SUM(F4:F5), 0, 1) + 1, 0, 1, TRUE) - SUM(F4:F5), "")</f>
        <v>0.3782516801061524</v>
      </c>
      <c r="G3" s="52">
        <f>IFERROR(_xlfn.NORM.DIST(_xlfn.NORM.INV(SUM(G4:G5), 0, 1) + 1, 0, 1, TRUE) - SUM(G4:G5), "")</f>
        <v>0.37060261428526581</v>
      </c>
    </row>
    <row r="4" spans="1:15" ht="15.75" customHeight="1" x14ac:dyDescent="0.25">
      <c r="B4" s="5" t="s">
        <v>104</v>
      </c>
      <c r="C4" s="45">
        <v>0.10193014049492501</v>
      </c>
      <c r="D4" s="53">
        <v>0.10193014049492501</v>
      </c>
      <c r="E4" s="53">
        <v>0.12596887628672501</v>
      </c>
      <c r="F4" s="53">
        <v>0.21533782150803599</v>
      </c>
      <c r="G4" s="53">
        <v>0.23684384633384001</v>
      </c>
    </row>
    <row r="5" spans="1:15" ht="15.75" customHeight="1" x14ac:dyDescent="0.25">
      <c r="B5" s="5" t="s">
        <v>105</v>
      </c>
      <c r="C5" s="45">
        <v>7.2336245637439595E-2</v>
      </c>
      <c r="D5" s="53">
        <v>7.2336245637439595E-2</v>
      </c>
      <c r="E5" s="53">
        <v>7.6508295445341504E-2</v>
      </c>
      <c r="F5" s="53">
        <v>0.152883935152441</v>
      </c>
      <c r="G5" s="53">
        <v>0.17093407130406399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0.53956333682015789</v>
      </c>
      <c r="D8" s="52">
        <f>IFERROR(1-_xlfn.NORM.DIST(_xlfn.NORM.INV(SUM(D10:D11), 0, 1) + 1, 0, 1, TRUE), "")</f>
        <v>0.53956333682015789</v>
      </c>
      <c r="E8" s="52">
        <f>IFERROR(1-_xlfn.NORM.DIST(_xlfn.NORM.INV(SUM(E10:E11), 0, 1) + 1, 0, 1, TRUE), "")</f>
        <v>0.55371068519441824</v>
      </c>
      <c r="F8" s="52">
        <f>IFERROR(1-_xlfn.NORM.DIST(_xlfn.NORM.INV(SUM(F10:F11), 0, 1) + 1, 0, 1, TRUE), "")</f>
        <v>0.57179989067807235</v>
      </c>
      <c r="G8" s="52">
        <f>IFERROR(1-_xlfn.NORM.DIST(_xlfn.NORM.INV(SUM(G10:G11), 0, 1) + 1, 0, 1, TRUE), "")</f>
        <v>0.6480988115395635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0.3246253929329358</v>
      </c>
      <c r="D9" s="52">
        <f>IFERROR(_xlfn.NORM.DIST(_xlfn.NORM.INV(SUM(D10:D11), 0, 1) + 1, 0, 1, TRUE) - SUM(D10:D11), "")</f>
        <v>0.3246253929329358</v>
      </c>
      <c r="E9" s="52">
        <f>IFERROR(_xlfn.NORM.DIST(_xlfn.NORM.INV(SUM(E10:E11), 0, 1) + 1, 0, 1, TRUE) - SUM(E10:E11), "")</f>
        <v>0.31811046421017597</v>
      </c>
      <c r="F9" s="52">
        <f>IFERROR(_xlfn.NORM.DIST(_xlfn.NORM.INV(SUM(F10:F11), 0, 1) + 1, 0, 1, TRUE) - SUM(F10:F11), "")</f>
        <v>0.30939048710722616</v>
      </c>
      <c r="G9" s="52">
        <f>IFERROR(_xlfn.NORM.DIST(_xlfn.NORM.INV(SUM(G10:G11), 0, 1) + 1, 0, 1, TRUE) - SUM(G10:G11), "")</f>
        <v>0.26813752809433844</v>
      </c>
    </row>
    <row r="10" spans="1:15" ht="15.75" customHeight="1" x14ac:dyDescent="0.25">
      <c r="B10" s="5" t="s">
        <v>109</v>
      </c>
      <c r="C10" s="45">
        <v>8.3412722396723607E-2</v>
      </c>
      <c r="D10" s="53">
        <v>8.3412722396723607E-2</v>
      </c>
      <c r="E10" s="53">
        <v>8.7488805103706199E-2</v>
      </c>
      <c r="F10" s="53">
        <v>8.4725683809968408E-2</v>
      </c>
      <c r="G10" s="53">
        <v>6.2665159698191295E-2</v>
      </c>
    </row>
    <row r="11" spans="1:15" ht="15.75" customHeight="1" x14ac:dyDescent="0.25">
      <c r="B11" s="5" t="s">
        <v>110</v>
      </c>
      <c r="C11" s="45">
        <v>5.2398547850182699E-2</v>
      </c>
      <c r="D11" s="53">
        <v>5.2398547850182699E-2</v>
      </c>
      <c r="E11" s="53">
        <v>4.0690045491699599E-2</v>
      </c>
      <c r="F11" s="53">
        <v>3.4083938404733102E-2</v>
      </c>
      <c r="G11" s="53">
        <v>2.1098500667906799E-2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1">
        <v>0.58198644774999997</v>
      </c>
      <c r="D14" s="54">
        <v>0.553427985096</v>
      </c>
      <c r="E14" s="54">
        <v>0.553427985096</v>
      </c>
      <c r="F14" s="54">
        <v>0.36485581126</v>
      </c>
      <c r="G14" s="54">
        <v>0.36485581126</v>
      </c>
      <c r="H14" s="45">
        <v>0.39</v>
      </c>
      <c r="I14" s="55">
        <v>0.39</v>
      </c>
      <c r="J14" s="55">
        <v>0.39</v>
      </c>
      <c r="K14" s="55">
        <v>0.39</v>
      </c>
      <c r="L14" s="45">
        <v>0.30599999999999999</v>
      </c>
      <c r="M14" s="55">
        <v>0.30599999999999999</v>
      </c>
      <c r="N14" s="55">
        <v>0.30599999999999999</v>
      </c>
      <c r="O14" s="55">
        <v>0.30599999999999999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0.28106744500862374</v>
      </c>
      <c r="D15" s="52">
        <f t="shared" si="0"/>
        <v>0.26727527826218772</v>
      </c>
      <c r="E15" s="52">
        <f t="shared" si="0"/>
        <v>0.26727527826218772</v>
      </c>
      <c r="F15" s="52">
        <f t="shared" si="0"/>
        <v>0.17620528976896072</v>
      </c>
      <c r="G15" s="52">
        <f t="shared" si="0"/>
        <v>0.17620528976896072</v>
      </c>
      <c r="H15" s="52">
        <f t="shared" si="0"/>
        <v>0.18834855</v>
      </c>
      <c r="I15" s="52">
        <f t="shared" si="0"/>
        <v>0.18834855</v>
      </c>
      <c r="J15" s="52">
        <f t="shared" si="0"/>
        <v>0.18834855</v>
      </c>
      <c r="K15" s="52">
        <f t="shared" si="0"/>
        <v>0.18834855</v>
      </c>
      <c r="L15" s="52">
        <f t="shared" si="0"/>
        <v>0.14778116999999999</v>
      </c>
      <c r="M15" s="52">
        <f t="shared" si="0"/>
        <v>0.14778116999999999</v>
      </c>
      <c r="N15" s="52">
        <f t="shared" si="0"/>
        <v>0.14778116999999999</v>
      </c>
      <c r="O15" s="52">
        <f t="shared" si="0"/>
        <v>0.14778116999999999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3xqyzchqVxS9zXO7znTyrqmG4eussISLX/4mg7LlMD/t3IsNh7m6SG4MjR9+VAYcXzElaKb7tc77YYjF5+e59A==" saltValue="FUkBI++HWGg/TA0T1/fuQ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"Percentage of children in each category in baseline year ("&amp;start_year&amp;")"</f>
        <v>Percentage of children in each category in baseline year (2021)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45">
        <v>0.62783992564380298</v>
      </c>
      <c r="D2" s="53">
        <v>0.43262884734375001</v>
      </c>
      <c r="E2" s="53"/>
      <c r="F2" s="53"/>
      <c r="G2" s="53"/>
    </row>
    <row r="3" spans="1:7" x14ac:dyDescent="0.25">
      <c r="B3" s="3" t="s">
        <v>120</v>
      </c>
      <c r="C3" s="53">
        <v>0.14720586077719799</v>
      </c>
      <c r="D3" s="53">
        <v>0.177978600203125</v>
      </c>
      <c r="E3" s="53"/>
      <c r="F3" s="53"/>
      <c r="G3" s="53"/>
    </row>
    <row r="4" spans="1:7" x14ac:dyDescent="0.25">
      <c r="B4" s="3" t="s">
        <v>121</v>
      </c>
      <c r="C4" s="53">
        <v>0.18765317901068701</v>
      </c>
      <c r="D4" s="53">
        <v>0.32684205140624989</v>
      </c>
      <c r="E4" s="53">
        <v>0.87710333811609398</v>
      </c>
      <c r="F4" s="53">
        <v>0.70024838180918392</v>
      </c>
      <c r="G4" s="53"/>
    </row>
    <row r="5" spans="1:7" x14ac:dyDescent="0.25">
      <c r="B5" s="3" t="s">
        <v>122</v>
      </c>
      <c r="C5" s="52">
        <v>3.74988743882404E-2</v>
      </c>
      <c r="D5" s="52">
        <v>6.2550492506879399E-2</v>
      </c>
      <c r="E5" s="52">
        <f>1-SUM(E2:E4)</f>
        <v>0.12289666188390602</v>
      </c>
      <c r="F5" s="52">
        <f>1-SUM(F2:F4)</f>
        <v>0.29975161819081608</v>
      </c>
      <c r="G5" s="52">
        <f>1-SUM(G2:G4)</f>
        <v>1</v>
      </c>
    </row>
  </sheetData>
  <sheetProtection algorithmName="SHA-512" hashValue="IB7MiHBWLHOD3n7SGNliWu2mGupPPVbe8KE+glKDhHOozsWhuk+He47LNdLk+tDUQGoZE97I8w1Jq70fVdZv9A==" saltValue="YOkiaLUiL7Hr3xSbyfJV+g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ht="13.25" customHeight="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ht="13.25" customHeight="1" x14ac:dyDescent="0.25">
      <c r="B3" s="9"/>
    </row>
    <row r="4" spans="1:11" ht="13.25" customHeight="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ht="13.25" customHeight="1" x14ac:dyDescent="0.25">
      <c r="B5" s="9"/>
    </row>
    <row r="6" spans="1:11" ht="13.25" customHeight="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ht="13.25" customHeight="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ht="13.25" customHeight="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ht="13.25" customHeight="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ht="13.25" customHeight="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ht="13.25" customHeight="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13.25" customHeight="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135</v>
      </c>
      <c r="B1" s="4" t="s">
        <v>136</v>
      </c>
    </row>
    <row r="2" spans="1:2" ht="13.25" customHeight="1" x14ac:dyDescent="0.25">
      <c r="A2" s="8" t="s">
        <v>137</v>
      </c>
      <c r="B2" s="41">
        <v>10</v>
      </c>
    </row>
    <row r="3" spans="1:2" ht="13.25" customHeight="1" x14ac:dyDescent="0.25">
      <c r="A3" s="8" t="s">
        <v>138</v>
      </c>
      <c r="B3" s="41">
        <v>10</v>
      </c>
    </row>
    <row r="4" spans="1:2" ht="13.25" customHeight="1" x14ac:dyDescent="0.25">
      <c r="A4" s="8" t="s">
        <v>139</v>
      </c>
      <c r="B4" s="41">
        <v>10</v>
      </c>
    </row>
    <row r="5" spans="1:2" ht="13.25" customHeight="1" x14ac:dyDescent="0.25">
      <c r="A5" s="8" t="s">
        <v>140</v>
      </c>
      <c r="B5" s="41">
        <v>10</v>
      </c>
    </row>
    <row r="6" spans="1:2" ht="13.25" customHeight="1" x14ac:dyDescent="0.25">
      <c r="A6" s="8" t="s">
        <v>141</v>
      </c>
      <c r="B6" s="41">
        <v>10</v>
      </c>
    </row>
    <row r="7" spans="1:2" ht="13.25" customHeight="1" x14ac:dyDescent="0.25">
      <c r="A7" s="8" t="s">
        <v>142</v>
      </c>
      <c r="B7" s="41">
        <v>10</v>
      </c>
    </row>
  </sheetData>
  <sheetProtection algorithmName="SHA-512" hashValue="YTrXHsnirT/bsP+7+uMgpWAhdccKC9Qo1FzXrh2XswY271EWOG0bFZHop7LfSCGKI/uyxD63LS8xZgES2J7SsQ==" saltValue="F9kdn6b4UaX+yMB6vvKJXg==" spinCount="100000" sheet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ht="13" customHeight="1" x14ac:dyDescent="0.3">
      <c r="A2" s="34" t="s">
        <v>148</v>
      </c>
      <c r="B2" s="32" t="s">
        <v>90</v>
      </c>
      <c r="C2" s="47"/>
      <c r="D2" s="47"/>
      <c r="E2" s="38" t="str">
        <f>IF(E$7="","",E$7)</f>
        <v/>
      </c>
    </row>
    <row r="3" spans="1:5" ht="13.25" customHeight="1" x14ac:dyDescent="0.25">
      <c r="B3" s="32" t="s">
        <v>67</v>
      </c>
      <c r="C3" s="47"/>
      <c r="D3" s="47" t="s">
        <v>149</v>
      </c>
      <c r="E3" s="38" t="str">
        <f>IF(E$7="","",E$7)</f>
        <v/>
      </c>
    </row>
    <row r="4" spans="1:5" ht="13.25" customHeight="1" x14ac:dyDescent="0.25">
      <c r="B4" s="32" t="s">
        <v>77</v>
      </c>
      <c r="C4" s="47"/>
      <c r="D4" s="47" t="s">
        <v>149</v>
      </c>
      <c r="E4" s="38" t="str">
        <f>IF(E$7="","",E$7)</f>
        <v/>
      </c>
    </row>
    <row r="5" spans="1:5" ht="13.25" customHeight="1" x14ac:dyDescent="0.25">
      <c r="B5" s="32" t="s">
        <v>78</v>
      </c>
      <c r="C5" s="47"/>
      <c r="D5" s="47"/>
      <c r="E5" s="38" t="str">
        <f>IF(E$7="","",E$7)</f>
        <v/>
      </c>
    </row>
    <row r="6" spans="1:5" ht="13.25" customHeight="1" x14ac:dyDescent="0.25">
      <c r="B6" s="32" t="s">
        <v>79</v>
      </c>
      <c r="C6" s="47"/>
      <c r="D6" s="47"/>
      <c r="E6" s="38" t="str">
        <f>IF(E$7="","",E$7)</f>
        <v/>
      </c>
    </row>
    <row r="7" spans="1:5" ht="13.25" customHeight="1" x14ac:dyDescent="0.25">
      <c r="B7" s="32" t="s">
        <v>150</v>
      </c>
      <c r="C7" s="31"/>
      <c r="D7" s="30"/>
      <c r="E7" s="47"/>
    </row>
    <row r="9" spans="1:5" ht="13" customHeight="1" x14ac:dyDescent="0.3">
      <c r="A9" s="34" t="s">
        <v>151</v>
      </c>
      <c r="B9" s="32" t="s">
        <v>90</v>
      </c>
      <c r="C9" s="47"/>
      <c r="D9" s="47"/>
      <c r="E9" s="38" t="str">
        <f>IF(E$7="","",E$7)</f>
        <v/>
      </c>
    </row>
    <row r="10" spans="1:5" ht="13.25" customHeight="1" x14ac:dyDescent="0.25">
      <c r="B10" s="32" t="s">
        <v>67</v>
      </c>
      <c r="C10" s="47"/>
      <c r="D10" s="47"/>
      <c r="E10" s="38" t="str">
        <f>IF(E$7="","",E$7)</f>
        <v/>
      </c>
    </row>
    <row r="11" spans="1:5" ht="13.25" customHeight="1" x14ac:dyDescent="0.25">
      <c r="B11" s="32" t="s">
        <v>77</v>
      </c>
      <c r="C11" s="47"/>
      <c r="D11" s="47"/>
      <c r="E11" s="38" t="str">
        <f>IF(E$7="","",E$7)</f>
        <v/>
      </c>
    </row>
    <row r="12" spans="1:5" ht="13.25" customHeight="1" x14ac:dyDescent="0.25">
      <c r="B12" s="32" t="s">
        <v>78</v>
      </c>
      <c r="C12" s="47"/>
      <c r="D12" s="47" t="s">
        <v>149</v>
      </c>
      <c r="E12" s="38" t="str">
        <f>IF(E$7="","",E$7)</f>
        <v/>
      </c>
    </row>
    <row r="13" spans="1:5" ht="13.25" customHeight="1" x14ac:dyDescent="0.25">
      <c r="B13" s="32" t="s">
        <v>79</v>
      </c>
      <c r="C13" s="47"/>
      <c r="D13" s="47" t="s">
        <v>149</v>
      </c>
      <c r="E13" s="38" t="str">
        <f>IF(E$7="","",E$7)</f>
        <v/>
      </c>
    </row>
    <row r="14" spans="1:5" ht="13.25" customHeight="1" x14ac:dyDescent="0.25">
      <c r="B14" s="32" t="s">
        <v>150</v>
      </c>
      <c r="C14" s="31"/>
      <c r="D14" s="30"/>
      <c r="E14" s="47"/>
    </row>
    <row r="16" spans="1:5" ht="13" customHeight="1" x14ac:dyDescent="0.3">
      <c r="A16" s="34" t="s">
        <v>152</v>
      </c>
      <c r="B16" s="32" t="s">
        <v>90</v>
      </c>
      <c r="C16" s="47"/>
      <c r="D16" s="47" t="s">
        <v>149</v>
      </c>
      <c r="E16" s="38" t="str">
        <f>IF(E$7="","",E$7)</f>
        <v/>
      </c>
    </row>
    <row r="17" spans="2:5" ht="13.25" customHeight="1" x14ac:dyDescent="0.25">
      <c r="B17" s="32" t="s">
        <v>67</v>
      </c>
      <c r="C17" s="47"/>
      <c r="D17" s="47" t="s">
        <v>149</v>
      </c>
      <c r="E17" s="38" t="str">
        <f>IF(E$7="","",E$7)</f>
        <v/>
      </c>
    </row>
    <row r="18" spans="2:5" ht="13.25" customHeight="1" x14ac:dyDescent="0.25">
      <c r="B18" s="32" t="s">
        <v>77</v>
      </c>
      <c r="C18" s="47"/>
      <c r="D18" s="47" t="s">
        <v>149</v>
      </c>
      <c r="E18" s="38" t="str">
        <f>IF(E$7="","",E$7)</f>
        <v/>
      </c>
    </row>
    <row r="19" spans="2:5" ht="13.25" customHeight="1" x14ac:dyDescent="0.25">
      <c r="B19" s="32" t="s">
        <v>78</v>
      </c>
      <c r="C19" s="47"/>
      <c r="D19" s="47" t="s">
        <v>149</v>
      </c>
      <c r="E19" s="38" t="str">
        <f>IF(E$7="","",E$7)</f>
        <v/>
      </c>
    </row>
    <row r="20" spans="2:5" ht="13.25" customHeight="1" x14ac:dyDescent="0.25">
      <c r="B20" s="32" t="s">
        <v>79</v>
      </c>
      <c r="C20" s="47"/>
      <c r="D20" s="47" t="s">
        <v>149</v>
      </c>
      <c r="E20" s="38" t="str">
        <f>IF(E$7="","",E$7)</f>
        <v/>
      </c>
    </row>
    <row r="21" spans="2:5" ht="13.25" customHeight="1" x14ac:dyDescent="0.25">
      <c r="B21" s="32" t="s">
        <v>150</v>
      </c>
      <c r="C21" s="31"/>
      <c r="D21" s="30"/>
      <c r="E21" s="47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1</v>
      </c>
      <c r="B1" s="36" t="s">
        <v>153</v>
      </c>
      <c r="C1" s="40" t="s">
        <v>154</v>
      </c>
      <c r="D1" s="40" t="s">
        <v>155</v>
      </c>
    </row>
    <row r="2" spans="1:4" ht="13" customHeight="1" x14ac:dyDescent="0.3">
      <c r="A2" s="40" t="s">
        <v>156</v>
      </c>
      <c r="B2" s="32" t="s">
        <v>157</v>
      </c>
      <c r="C2" s="32" t="s">
        <v>158</v>
      </c>
      <c r="D2" s="47"/>
    </row>
    <row r="3" spans="1:4" ht="13" customHeight="1" x14ac:dyDescent="0.3">
      <c r="A3" s="40" t="s">
        <v>159</v>
      </c>
      <c r="B3" s="32" t="s">
        <v>145</v>
      </c>
      <c r="C3" s="32" t="s">
        <v>160</v>
      </c>
      <c r="D3" s="47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E32" sqref="E32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156</v>
      </c>
      <c r="B1" s="22" t="str">
        <f>"Baseline ("&amp;start_year&amp;") coverage"</f>
        <v>Baseline (2021) coverage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0</v>
      </c>
      <c r="C2" s="98">
        <v>0.95</v>
      </c>
      <c r="D2" s="56">
        <v>64.978466716900769</v>
      </c>
      <c r="E2" s="56" t="s">
        <v>167</v>
      </c>
      <c r="F2" s="98">
        <v>1</v>
      </c>
      <c r="G2" s="98">
        <v>1</v>
      </c>
    </row>
    <row r="3" spans="1:7" ht="15.75" customHeight="1" x14ac:dyDescent="0.25">
      <c r="A3" s="5" t="s">
        <v>168</v>
      </c>
      <c r="B3" s="45">
        <v>0</v>
      </c>
      <c r="C3" s="98">
        <v>0.95</v>
      </c>
      <c r="D3" s="56">
        <v>40.035884855702882</v>
      </c>
      <c r="E3" s="56" t="s">
        <v>167</v>
      </c>
      <c r="F3" s="98">
        <v>1</v>
      </c>
      <c r="G3" s="98">
        <v>1</v>
      </c>
    </row>
    <row r="4" spans="1:7" ht="15.75" customHeight="1" x14ac:dyDescent="0.25">
      <c r="A4" s="5" t="s">
        <v>169</v>
      </c>
      <c r="B4" s="98">
        <v>0</v>
      </c>
      <c r="C4" s="98">
        <v>0.95</v>
      </c>
      <c r="D4" s="56">
        <v>523.3469422837544</v>
      </c>
      <c r="E4" s="56" t="s">
        <v>167</v>
      </c>
      <c r="F4" s="98">
        <v>1</v>
      </c>
      <c r="G4" s="98">
        <v>1</v>
      </c>
    </row>
    <row r="5" spans="1:7" ht="15.75" customHeight="1" x14ac:dyDescent="0.25">
      <c r="A5" s="5" t="s">
        <v>170</v>
      </c>
      <c r="B5" s="98">
        <v>0</v>
      </c>
      <c r="C5" s="98">
        <v>0.95</v>
      </c>
      <c r="D5" s="56">
        <v>2.222199495604066</v>
      </c>
      <c r="E5" s="56" t="s">
        <v>167</v>
      </c>
      <c r="F5" s="98">
        <v>1</v>
      </c>
      <c r="G5" s="98">
        <v>1</v>
      </c>
    </row>
    <row r="6" spans="1:7" ht="15.75" customHeight="1" x14ac:dyDescent="0.25">
      <c r="A6" s="5" t="s">
        <v>171</v>
      </c>
      <c r="B6" s="98">
        <v>0</v>
      </c>
      <c r="C6" s="98">
        <v>0.95</v>
      </c>
      <c r="D6" s="56">
        <v>99.99</v>
      </c>
      <c r="E6" s="56" t="s">
        <v>167</v>
      </c>
      <c r="F6" s="98">
        <v>1</v>
      </c>
      <c r="G6" s="98">
        <v>1</v>
      </c>
    </row>
    <row r="7" spans="1:7" ht="15.75" customHeight="1" x14ac:dyDescent="0.25">
      <c r="A7" s="5" t="s">
        <v>172</v>
      </c>
      <c r="B7" s="98">
        <v>0</v>
      </c>
      <c r="C7" s="98">
        <v>0.95</v>
      </c>
      <c r="D7" s="56">
        <v>99.99</v>
      </c>
      <c r="E7" s="56" t="s">
        <v>167</v>
      </c>
      <c r="F7" s="98">
        <v>1</v>
      </c>
      <c r="G7" s="98">
        <v>1</v>
      </c>
    </row>
    <row r="8" spans="1:7" ht="15.75" customHeight="1" x14ac:dyDescent="0.25">
      <c r="A8" s="5" t="s">
        <v>173</v>
      </c>
      <c r="B8" s="98">
        <v>0</v>
      </c>
      <c r="C8" s="98">
        <v>0.95</v>
      </c>
      <c r="D8" s="56">
        <v>99.99</v>
      </c>
      <c r="E8" s="56" t="s">
        <v>167</v>
      </c>
      <c r="F8" s="98">
        <v>1</v>
      </c>
      <c r="G8" s="98">
        <v>1</v>
      </c>
    </row>
    <row r="9" spans="1:7" ht="15.75" customHeight="1" x14ac:dyDescent="0.25">
      <c r="A9" s="5" t="s">
        <v>174</v>
      </c>
      <c r="B9" s="98">
        <v>0</v>
      </c>
      <c r="C9" s="98">
        <v>0.95</v>
      </c>
      <c r="D9" s="56">
        <v>99.99</v>
      </c>
      <c r="E9" s="56" t="s">
        <v>167</v>
      </c>
      <c r="F9" s="98">
        <v>1</v>
      </c>
      <c r="G9" s="98">
        <v>1</v>
      </c>
    </row>
    <row r="10" spans="1:7" ht="15.75" customHeight="1" x14ac:dyDescent="0.25">
      <c r="A10" s="11" t="s">
        <v>175</v>
      </c>
      <c r="B10" s="45">
        <v>0</v>
      </c>
      <c r="C10" s="98">
        <v>0.95</v>
      </c>
      <c r="D10" s="56">
        <v>13.16818429949879</v>
      </c>
      <c r="E10" s="56" t="s">
        <v>167</v>
      </c>
      <c r="F10" s="98">
        <v>1</v>
      </c>
      <c r="G10" s="98">
        <v>1</v>
      </c>
    </row>
    <row r="11" spans="1:7" ht="15.75" customHeight="1" x14ac:dyDescent="0.25">
      <c r="A11" s="11" t="s">
        <v>176</v>
      </c>
      <c r="B11" s="98">
        <v>0</v>
      </c>
      <c r="C11" s="98">
        <v>0.95</v>
      </c>
      <c r="D11" s="56">
        <v>13.16818429949879</v>
      </c>
      <c r="E11" s="56" t="s">
        <v>167</v>
      </c>
      <c r="F11" s="98">
        <v>1</v>
      </c>
      <c r="G11" s="98">
        <v>1</v>
      </c>
    </row>
    <row r="12" spans="1:7" ht="15.75" customHeight="1" x14ac:dyDescent="0.25">
      <c r="A12" s="11" t="s">
        <v>177</v>
      </c>
      <c r="B12" s="98">
        <v>0</v>
      </c>
      <c r="C12" s="98">
        <v>0.95</v>
      </c>
      <c r="D12" s="56">
        <v>13.16818429949879</v>
      </c>
      <c r="E12" s="56" t="s">
        <v>167</v>
      </c>
      <c r="F12" s="98">
        <v>1</v>
      </c>
      <c r="G12" s="98">
        <v>1</v>
      </c>
    </row>
    <row r="13" spans="1:7" ht="15.75" customHeight="1" x14ac:dyDescent="0.25">
      <c r="A13" s="11" t="s">
        <v>178</v>
      </c>
      <c r="B13" s="98">
        <v>0</v>
      </c>
      <c r="C13" s="98">
        <v>0.95</v>
      </c>
      <c r="D13" s="56">
        <v>13.16818429949879</v>
      </c>
      <c r="E13" s="56" t="s">
        <v>167</v>
      </c>
      <c r="F13" s="98">
        <v>1</v>
      </c>
      <c r="G13" s="98">
        <v>1</v>
      </c>
    </row>
    <row r="14" spans="1:7" ht="15.75" customHeight="1" x14ac:dyDescent="0.25">
      <c r="A14" s="5" t="s">
        <v>179</v>
      </c>
      <c r="B14" s="45">
        <v>0</v>
      </c>
      <c r="C14" s="98">
        <v>0.95</v>
      </c>
      <c r="D14" s="56">
        <v>13.16818429949879</v>
      </c>
      <c r="E14" s="56" t="s">
        <v>167</v>
      </c>
      <c r="F14" s="98">
        <v>1</v>
      </c>
      <c r="G14" s="98">
        <v>1</v>
      </c>
    </row>
    <row r="15" spans="1:7" ht="15.75" customHeight="1" x14ac:dyDescent="0.25">
      <c r="A15" s="5" t="s">
        <v>180</v>
      </c>
      <c r="B15" s="98">
        <v>0</v>
      </c>
      <c r="C15" s="98">
        <v>0.95</v>
      </c>
      <c r="D15" s="56">
        <v>13.16818429949879</v>
      </c>
      <c r="E15" s="56" t="s">
        <v>167</v>
      </c>
      <c r="F15" s="98">
        <v>1</v>
      </c>
      <c r="G15" s="98">
        <v>1</v>
      </c>
    </row>
    <row r="16" spans="1:7" ht="15.75" customHeight="1" x14ac:dyDescent="0.25">
      <c r="A16" s="5" t="s">
        <v>181</v>
      </c>
      <c r="B16" s="45">
        <v>0</v>
      </c>
      <c r="C16" s="98">
        <v>0.95</v>
      </c>
      <c r="D16" s="56">
        <v>0.87495009939413526</v>
      </c>
      <c r="E16" s="56" t="s">
        <v>167</v>
      </c>
      <c r="F16" s="98">
        <v>1</v>
      </c>
      <c r="G16" s="98">
        <v>1</v>
      </c>
    </row>
    <row r="17" spans="1:7" ht="15.75" customHeight="1" x14ac:dyDescent="0.25">
      <c r="A17" s="5" t="s">
        <v>182</v>
      </c>
      <c r="B17" s="98">
        <v>0.96</v>
      </c>
      <c r="C17" s="98">
        <v>0.95</v>
      </c>
      <c r="D17" s="56">
        <v>0.1369044839662158</v>
      </c>
      <c r="E17" s="56" t="s">
        <v>167</v>
      </c>
      <c r="F17" s="98">
        <v>1</v>
      </c>
      <c r="G17" s="98">
        <v>1</v>
      </c>
    </row>
    <row r="18" spans="1:7" ht="15.9" customHeight="1" x14ac:dyDescent="0.25">
      <c r="A18" s="5" t="s">
        <v>148</v>
      </c>
      <c r="B18" s="98">
        <v>0</v>
      </c>
      <c r="C18" s="98">
        <v>0.95</v>
      </c>
      <c r="D18" s="56">
        <v>12.03223213704624</v>
      </c>
      <c r="E18" s="56" t="s">
        <v>167</v>
      </c>
      <c r="F18" s="98">
        <v>1</v>
      </c>
      <c r="G18" s="98">
        <v>1</v>
      </c>
    </row>
    <row r="19" spans="1:7" ht="15.75" customHeight="1" x14ac:dyDescent="0.25">
      <c r="A19" s="5" t="s">
        <v>151</v>
      </c>
      <c r="B19" s="98">
        <v>0</v>
      </c>
      <c r="C19" s="98">
        <v>0.95</v>
      </c>
      <c r="D19" s="56">
        <v>12.03223213704624</v>
      </c>
      <c r="E19" s="56" t="s">
        <v>167</v>
      </c>
      <c r="F19" s="98">
        <v>1</v>
      </c>
      <c r="G19" s="98">
        <v>1</v>
      </c>
    </row>
    <row r="20" spans="1:7" ht="15.75" customHeight="1" x14ac:dyDescent="0.25">
      <c r="A20" s="5" t="s">
        <v>152</v>
      </c>
      <c r="B20" s="98">
        <v>0</v>
      </c>
      <c r="C20" s="98">
        <v>0.95</v>
      </c>
      <c r="D20" s="56">
        <v>99.99</v>
      </c>
      <c r="E20" s="56" t="s">
        <v>167</v>
      </c>
      <c r="F20" s="98">
        <v>1</v>
      </c>
      <c r="G20" s="98">
        <v>1</v>
      </c>
    </row>
    <row r="21" spans="1:7" ht="15.75" customHeight="1" x14ac:dyDescent="0.25">
      <c r="A21" s="5" t="s">
        <v>183</v>
      </c>
      <c r="B21" s="45">
        <v>0</v>
      </c>
      <c r="C21" s="98">
        <v>0.95</v>
      </c>
      <c r="D21" s="56">
        <v>23.370362340463299</v>
      </c>
      <c r="E21" s="56" t="s">
        <v>167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22.805877504333029</v>
      </c>
      <c r="E22" s="56" t="s">
        <v>167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0</v>
      </c>
      <c r="C23" s="98">
        <v>0.95</v>
      </c>
      <c r="D23" s="56">
        <v>4.3768406970404801</v>
      </c>
      <c r="E23" s="56" t="s">
        <v>167</v>
      </c>
      <c r="F23" s="98">
        <v>1</v>
      </c>
      <c r="G23" s="98">
        <v>1</v>
      </c>
    </row>
    <row r="24" spans="1:7" ht="15.75" customHeight="1" x14ac:dyDescent="0.25">
      <c r="A24" s="5" t="s">
        <v>186</v>
      </c>
      <c r="B24" s="45">
        <v>0</v>
      </c>
      <c r="C24" s="98">
        <v>0.95</v>
      </c>
      <c r="D24" s="56">
        <v>99.99</v>
      </c>
      <c r="E24" s="56" t="s">
        <v>167</v>
      </c>
      <c r="F24" s="98">
        <v>1</v>
      </c>
      <c r="G24" s="98">
        <v>1</v>
      </c>
    </row>
    <row r="25" spans="1:7" ht="15.75" customHeight="1" x14ac:dyDescent="0.25">
      <c r="A25" s="5" t="s">
        <v>187</v>
      </c>
      <c r="B25" s="98">
        <v>0</v>
      </c>
      <c r="C25" s="98">
        <v>0.95</v>
      </c>
      <c r="D25" s="56">
        <v>99.99</v>
      </c>
      <c r="E25" s="56" t="s">
        <v>167</v>
      </c>
      <c r="F25" s="98">
        <v>1</v>
      </c>
      <c r="G25" s="98">
        <v>1</v>
      </c>
    </row>
    <row r="26" spans="1:7" ht="15.75" customHeight="1" x14ac:dyDescent="0.25">
      <c r="A26" s="5" t="s">
        <v>188</v>
      </c>
      <c r="B26" s="45">
        <v>0</v>
      </c>
      <c r="C26" s="98">
        <v>0.95</v>
      </c>
      <c r="D26" s="56">
        <v>99.99</v>
      </c>
      <c r="E26" s="56" t="s">
        <v>167</v>
      </c>
      <c r="F26" s="98">
        <v>1</v>
      </c>
      <c r="G26" s="98">
        <v>1</v>
      </c>
    </row>
    <row r="27" spans="1:7" ht="15.75" customHeight="1" x14ac:dyDescent="0.25">
      <c r="A27" s="5" t="s">
        <v>189</v>
      </c>
      <c r="B27" s="45">
        <v>0</v>
      </c>
      <c r="C27" s="98">
        <v>0.95</v>
      </c>
      <c r="D27" s="56">
        <v>18.714394010930931</v>
      </c>
      <c r="E27" s="56" t="s">
        <v>167</v>
      </c>
      <c r="F27" s="98">
        <v>1</v>
      </c>
      <c r="G27" s="98">
        <v>1</v>
      </c>
    </row>
    <row r="28" spans="1:7" ht="15.75" customHeight="1" x14ac:dyDescent="0.25">
      <c r="A28" s="5" t="s">
        <v>190</v>
      </c>
      <c r="B28" s="45">
        <v>0</v>
      </c>
      <c r="C28" s="98">
        <v>0.95</v>
      </c>
      <c r="D28" s="56">
        <v>99.99</v>
      </c>
      <c r="E28" s="56" t="s">
        <v>167</v>
      </c>
      <c r="F28" s="98">
        <v>1</v>
      </c>
      <c r="G28" s="98">
        <v>1</v>
      </c>
    </row>
    <row r="29" spans="1:7" ht="15.75" customHeight="1" x14ac:dyDescent="0.25">
      <c r="A29" s="5" t="s">
        <v>191</v>
      </c>
      <c r="B29" s="45">
        <v>0</v>
      </c>
      <c r="C29" s="98">
        <v>0.95</v>
      </c>
      <c r="D29" s="56">
        <v>129.5082053629678</v>
      </c>
      <c r="E29" s="56" t="s">
        <v>167</v>
      </c>
      <c r="F29" s="98">
        <v>1</v>
      </c>
      <c r="G29" s="98">
        <v>1</v>
      </c>
    </row>
    <row r="30" spans="1:7" ht="15.75" customHeight="1" x14ac:dyDescent="0.25">
      <c r="A30" s="5" t="s">
        <v>192</v>
      </c>
      <c r="B30" s="98">
        <v>0</v>
      </c>
      <c r="C30" s="98">
        <v>0.95</v>
      </c>
      <c r="D30" s="56">
        <v>99</v>
      </c>
      <c r="E30" s="56" t="s">
        <v>167</v>
      </c>
      <c r="F30" s="98">
        <v>1</v>
      </c>
      <c r="G30" s="98">
        <v>1</v>
      </c>
    </row>
    <row r="31" spans="1:7" ht="15.75" customHeight="1" x14ac:dyDescent="0.25">
      <c r="A31" s="5" t="s">
        <v>157</v>
      </c>
      <c r="B31" s="45">
        <v>0</v>
      </c>
      <c r="C31" s="98">
        <v>0.95</v>
      </c>
      <c r="D31" s="56">
        <v>2.7005701608607802</v>
      </c>
      <c r="E31" s="56" t="s">
        <v>167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</v>
      </c>
      <c r="C32" s="98">
        <v>0.95</v>
      </c>
      <c r="D32" s="56">
        <v>1.894695667647958</v>
      </c>
      <c r="E32" s="56" t="s">
        <v>167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167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0.95072175069817499</v>
      </c>
      <c r="C34" s="98">
        <v>0.95</v>
      </c>
      <c r="D34" s="56">
        <v>99.99</v>
      </c>
      <c r="E34" s="56" t="s">
        <v>167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167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167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</v>
      </c>
      <c r="C37" s="98">
        <v>0.95</v>
      </c>
      <c r="D37" s="56">
        <v>99.99</v>
      </c>
      <c r="E37" s="56" t="s">
        <v>167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0</v>
      </c>
      <c r="C38" s="98">
        <v>0.95</v>
      </c>
      <c r="D38" s="56">
        <v>6.0398139560416322</v>
      </c>
      <c r="E38" s="56" t="s">
        <v>167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</v>
      </c>
      <c r="C39" s="98">
        <v>0.95</v>
      </c>
      <c r="D39" s="56">
        <v>99.99</v>
      </c>
      <c r="E39" s="56" t="s">
        <v>167</v>
      </c>
      <c r="F39" s="98">
        <v>1</v>
      </c>
      <c r="G39" s="98">
        <v>1</v>
      </c>
    </row>
  </sheetData>
  <sheetProtection algorithmName="SHA-512" hashValue="7vflRb+A4U2pEdxn7m/v0lFZNI78qfZXbnYBjV1V9XLM+tHWxQCvL8xYVSz8kIygwB6Bp0chVfPhUDXzL0eOkw==" saltValue="BwzbjGZ5GxwK0Bvfdhnv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B8" sqref="B7:B8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156</v>
      </c>
      <c r="B1" s="4" t="s">
        <v>201</v>
      </c>
      <c r="C1" s="4" t="s">
        <v>202</v>
      </c>
    </row>
    <row r="2" spans="1:3" ht="13.25" customHeight="1" x14ac:dyDescent="0.25">
      <c r="A2" s="57" t="s">
        <v>179</v>
      </c>
      <c r="B2" s="47" t="s">
        <v>189</v>
      </c>
      <c r="C2" s="47"/>
    </row>
    <row r="3" spans="1:3" ht="13.25" customHeight="1" x14ac:dyDescent="0.25">
      <c r="A3" s="57" t="s">
        <v>180</v>
      </c>
      <c r="B3" s="47" t="s">
        <v>189</v>
      </c>
      <c r="C3" s="47"/>
    </row>
    <row r="4" spans="1:3" ht="13.25" customHeight="1" x14ac:dyDescent="0.25">
      <c r="A4" s="57" t="s">
        <v>191</v>
      </c>
      <c r="B4" s="47" t="s">
        <v>184</v>
      </c>
      <c r="C4" s="47"/>
    </row>
    <row r="5" spans="1:3" ht="13.25" customHeight="1" x14ac:dyDescent="0.25">
      <c r="A5" s="57" t="s">
        <v>188</v>
      </c>
      <c r="B5" s="47" t="s">
        <v>184</v>
      </c>
      <c r="C5" s="47"/>
    </row>
    <row r="6" spans="1:3" ht="13.25" customHeight="1" x14ac:dyDescent="0.25">
      <c r="A6" s="57"/>
      <c r="B6" s="58"/>
      <c r="C6" s="58"/>
    </row>
    <row r="7" spans="1:3" ht="13.25" customHeight="1" x14ac:dyDescent="0.25">
      <c r="A7" s="57"/>
      <c r="B7" s="58"/>
      <c r="C7" s="58"/>
    </row>
    <row r="8" spans="1:3" ht="13.25" customHeight="1" x14ac:dyDescent="0.25">
      <c r="A8" s="57"/>
      <c r="B8" s="58"/>
      <c r="C8" s="58"/>
    </row>
    <row r="9" spans="1:3" ht="13.25" customHeight="1" x14ac:dyDescent="0.25">
      <c r="A9" s="57"/>
      <c r="B9" s="58"/>
      <c r="C9" s="58"/>
    </row>
    <row r="10" spans="1:3" ht="13.25" customHeight="1" x14ac:dyDescent="0.25">
      <c r="A10" s="57"/>
      <c r="B10" s="58"/>
      <c r="C10" s="58"/>
    </row>
    <row r="11" spans="1:3" ht="13.25" customHeight="1" x14ac:dyDescent="0.25">
      <c r="A11" s="59"/>
      <c r="B11" s="58"/>
      <c r="C11" s="58"/>
    </row>
    <row r="12" spans="1:3" ht="13.25" customHeight="1" x14ac:dyDescent="0.25">
      <c r="A12" s="59"/>
      <c r="B12" s="58"/>
      <c r="C12" s="58"/>
    </row>
    <row r="13" spans="1:3" ht="13.25" customHeight="1" x14ac:dyDescent="0.25">
      <c r="A13" s="59"/>
      <c r="B13" s="58"/>
      <c r="C13" s="58"/>
    </row>
    <row r="14" spans="1:3" ht="13.25" customHeight="1" x14ac:dyDescent="0.25">
      <c r="A14" s="59"/>
      <c r="B14" s="58"/>
      <c r="C14" s="58"/>
    </row>
    <row r="15" spans="1:3" ht="13.25" customHeight="1" x14ac:dyDescent="0.25">
      <c r="A15" s="59"/>
      <c r="B15" s="58"/>
      <c r="C15" s="58"/>
    </row>
    <row r="16" spans="1:3" ht="13.25" customHeight="1" x14ac:dyDescent="0.25">
      <c r="A16" s="59"/>
      <c r="B16" s="58"/>
      <c r="C16" s="58"/>
    </row>
    <row r="17" spans="1:3" ht="13.25" customHeight="1" x14ac:dyDescent="0.25">
      <c r="A17" s="59"/>
      <c r="B17" s="58"/>
      <c r="C17" s="58"/>
    </row>
    <row r="18" spans="1:3" ht="13.25" customHeight="1" x14ac:dyDescent="0.25">
      <c r="A18" s="59"/>
      <c r="B18" s="58"/>
      <c r="C18" s="58"/>
    </row>
    <row r="19" spans="1:3" ht="13.25" customHeight="1" x14ac:dyDescent="0.25">
      <c r="A19" s="57"/>
      <c r="B19" s="58"/>
      <c r="C19" s="58"/>
    </row>
    <row r="20" spans="1:3" ht="13.25" customHeight="1" x14ac:dyDescent="0.25">
      <c r="A20" s="57"/>
      <c r="B20" s="58"/>
      <c r="C20" s="58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156</v>
      </c>
    </row>
    <row r="2" spans="1:1" ht="13.25" customHeight="1" x14ac:dyDescent="0.25">
      <c r="A2" s="33" t="s">
        <v>171</v>
      </c>
    </row>
    <row r="3" spans="1:1" ht="13.25" customHeight="1" x14ac:dyDescent="0.25">
      <c r="A3" s="33" t="s">
        <v>181</v>
      </c>
    </row>
    <row r="4" spans="1:1" ht="13.25" customHeight="1" x14ac:dyDescent="0.25">
      <c r="A4" s="33" t="s">
        <v>185</v>
      </c>
    </row>
    <row r="5" spans="1:1" ht="13.25" customHeight="1" x14ac:dyDescent="0.25">
      <c r="A5" s="33" t="s">
        <v>194</v>
      </c>
    </row>
    <row r="6" spans="1:1" ht="13.25" customHeight="1" x14ac:dyDescent="0.25">
      <c r="A6" s="33" t="s">
        <v>195</v>
      </c>
    </row>
    <row r="7" spans="1:1" ht="13.25" customHeight="1" x14ac:dyDescent="0.25">
      <c r="A7" s="33" t="s">
        <v>196</v>
      </c>
    </row>
    <row r="8" spans="1:1" ht="13.25" customHeight="1" x14ac:dyDescent="0.25">
      <c r="A8" s="33" t="s">
        <v>197</v>
      </c>
    </row>
    <row r="9" spans="1:1" ht="13.25" customHeight="1" x14ac:dyDescent="0.25">
      <c r="A9" s="33" t="s">
        <v>198</v>
      </c>
    </row>
    <row r="10" spans="1:1" ht="13.25" customHeight="1" x14ac:dyDescent="0.25">
      <c r="A10" s="33"/>
    </row>
    <row r="11" spans="1:1" ht="13.25" customHeight="1" x14ac:dyDescent="0.25">
      <c r="A11" s="33"/>
    </row>
    <row r="12" spans="1:1" ht="13.25" customHeight="1" x14ac:dyDescent="0.25">
      <c r="A12" s="33"/>
    </row>
    <row r="13" spans="1:1" ht="13.25" customHeight="1" x14ac:dyDescent="0.25">
      <c r="A13" s="33"/>
    </row>
    <row r="14" spans="1:1" ht="13.25" customHeight="1" x14ac:dyDescent="0.25">
      <c r="A14" s="33"/>
    </row>
    <row r="15" spans="1:1" ht="13.25" customHeight="1" x14ac:dyDescent="0.25">
      <c r="A15" s="33"/>
    </row>
    <row r="16" spans="1:1" ht="13.25" customHeight="1" x14ac:dyDescent="0.25">
      <c r="A16" s="33"/>
    </row>
    <row r="17" spans="1:1" ht="13.25" customHeight="1" x14ac:dyDescent="0.25">
      <c r="A17" s="33"/>
    </row>
    <row r="18" spans="1:1" ht="13.25" customHeight="1" x14ac:dyDescent="0.25">
      <c r="A18" s="33"/>
    </row>
    <row r="19" spans="1:1" ht="13.25" customHeight="1" x14ac:dyDescent="0.25">
      <c r="A19" s="33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'Baseline year population inputs'!C51</f>
        <v>2.2000000000000002</v>
      </c>
      <c r="C2" s="21">
        <f>'Baseline year population inputs'!C52</f>
        <v>2.2000000000000002</v>
      </c>
      <c r="D2" s="21">
        <f>'Baseline year population inputs'!C53</f>
        <v>2.2000000000000002</v>
      </c>
      <c r="E2" s="21">
        <f>'Baseline year population inputs'!C54</f>
        <v>2.2000000000000002</v>
      </c>
      <c r="F2" s="21">
        <f>'Baseline year population inputs'!C55</f>
        <v>2.2000000000000002</v>
      </c>
    </row>
    <row r="3" spans="1:6" ht="15.75" customHeight="1" x14ac:dyDescent="0.25">
      <c r="A3" s="3" t="s">
        <v>204</v>
      </c>
      <c r="B3" s="21">
        <f>frac_mam_1month * 2.6</f>
        <v>0.21687307823148139</v>
      </c>
      <c r="C3" s="21">
        <f>frac_mam_1_5months * 2.6</f>
        <v>0.21687307823148139</v>
      </c>
      <c r="D3" s="21">
        <f>frac_mam_6_11months * 2.6</f>
        <v>0.22747089326963613</v>
      </c>
      <c r="E3" s="21">
        <f>frac_mam_12_23months * 2.6</f>
        <v>0.22028677790591786</v>
      </c>
      <c r="F3" s="21">
        <f>frac_mam_24_59months * 2.6</f>
        <v>0.16292941521529739</v>
      </c>
    </row>
    <row r="4" spans="1:6" ht="15.75" customHeight="1" x14ac:dyDescent="0.25">
      <c r="A4" s="3" t="s">
        <v>205</v>
      </c>
      <c r="B4" s="21">
        <f>frac_sam_1month * 2.6</f>
        <v>0.13623622441047503</v>
      </c>
      <c r="C4" s="21">
        <f>frac_sam_1_5months * 2.6</f>
        <v>0.13623622441047503</v>
      </c>
      <c r="D4" s="21">
        <f>frac_sam_6_11months * 2.6</f>
        <v>0.10579411827841896</v>
      </c>
      <c r="E4" s="21">
        <f>frac_sam_12_23months * 2.6</f>
        <v>8.8618239852306074E-2</v>
      </c>
      <c r="F4" s="21">
        <f>frac_sam_24_59months * 2.6</f>
        <v>5.485610173655768E-2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9" sqref="C9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60">
        <v>0</v>
      </c>
      <c r="D2" s="60">
        <f>food_insecure</f>
        <v>1.4E-2</v>
      </c>
      <c r="E2" s="60">
        <f>food_insecure</f>
        <v>1.4E-2</v>
      </c>
      <c r="F2" s="60">
        <f>food_insecure</f>
        <v>1.4E-2</v>
      </c>
      <c r="G2" s="60">
        <f>food_insecure</f>
        <v>1.4E-2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170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183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1.4E-2</v>
      </c>
      <c r="F5" s="60">
        <f>food_insecure</f>
        <v>1.4E-2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188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190</v>
      </c>
      <c r="C7" s="60">
        <f>diarrhoea_1mo*frac_diarrhea_severe</f>
        <v>4.6999999999999993E-2</v>
      </c>
      <c r="D7" s="60">
        <f>diarrhoea_1_5mo*frac_diarrhea_severe</f>
        <v>4.6999999999999993E-2</v>
      </c>
      <c r="E7" s="60">
        <f>diarrhoea_6_11mo*frac_diarrhea_severe</f>
        <v>4.6999999999999993E-2</v>
      </c>
      <c r="F7" s="60">
        <f>diarrhoea_12_23mo*frac_diarrhea_severe</f>
        <v>4.6999999999999993E-2</v>
      </c>
      <c r="G7" s="60">
        <f>diarrhoea_24_59mo*frac_diarrhea_severe</f>
        <v>4.6999999999999993E-2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191</v>
      </c>
      <c r="C8" s="60">
        <v>0</v>
      </c>
      <c r="D8" s="60">
        <v>0</v>
      </c>
      <c r="E8" s="60">
        <f>food_insecure</f>
        <v>1.4E-2</v>
      </c>
      <c r="F8" s="60">
        <f>food_insecure</f>
        <v>1.4E-2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192</v>
      </c>
      <c r="C9" s="60">
        <v>0</v>
      </c>
      <c r="D9" s="60">
        <v>0</v>
      </c>
      <c r="E9" s="60">
        <f>food_insecure</f>
        <v>1.4E-2</v>
      </c>
      <c r="F9" s="60">
        <f>food_insecure</f>
        <v>1.4E-2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157</v>
      </c>
      <c r="C10" s="60">
        <v>0</v>
      </c>
      <c r="D10" s="60">
        <f>IF(ISBLANK(comm_deliv), frac_children_health_facility,1)</f>
        <v>0.72</v>
      </c>
      <c r="E10" s="60">
        <f>IF(ISBLANK(comm_deliv), frac_children_health_facility,1)</f>
        <v>0.72</v>
      </c>
      <c r="F10" s="60">
        <f>IF(ISBLANK(comm_deliv), frac_children_health_facility,1)</f>
        <v>0.72</v>
      </c>
      <c r="G10" s="60">
        <f>IF(ISBLANK(comm_deliv), frac_children_health_facility,1)</f>
        <v>0.72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4.6999999999999993E-2</v>
      </c>
      <c r="D12" s="60">
        <f>diarrhoea_1_5mo*frac_diarrhea_severe</f>
        <v>4.6999999999999993E-2</v>
      </c>
      <c r="E12" s="60">
        <f>diarrhoea_6_11mo*frac_diarrhea_severe</f>
        <v>4.6999999999999993E-2</v>
      </c>
      <c r="F12" s="60">
        <f>diarrhoea_12_23mo*frac_diarrhea_severe</f>
        <v>4.6999999999999993E-2</v>
      </c>
      <c r="G12" s="60">
        <f>diarrhoea_24_59mo*frac_diarrhea_severe</f>
        <v>4.6999999999999993E-2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90</v>
      </c>
      <c r="B15" s="9" t="s">
        <v>166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1.4E-2</v>
      </c>
      <c r="I15" s="60">
        <f>food_insecure</f>
        <v>1.4E-2</v>
      </c>
      <c r="J15" s="60">
        <f>food_insecure</f>
        <v>1.4E-2</v>
      </c>
      <c r="K15" s="60">
        <f>food_insecure</f>
        <v>1.4E-2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168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179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180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0.93599999999999994</v>
      </c>
      <c r="I18" s="60">
        <f>frac_PW_health_facility</f>
        <v>0.93599999999999994</v>
      </c>
      <c r="J18" s="60">
        <f>frac_PW_health_facility</f>
        <v>0.93599999999999994</v>
      </c>
      <c r="K18" s="60">
        <f>frac_PW_health_facility</f>
        <v>0.93599999999999994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181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0.01</v>
      </c>
      <c r="I19" s="60">
        <f>frac_malaria_risk</f>
        <v>0.01</v>
      </c>
      <c r="J19" s="60">
        <f>frac_malaria_risk</f>
        <v>0.01</v>
      </c>
      <c r="K19" s="60">
        <f>frac_malaria_risk</f>
        <v>0.01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186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187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189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207</v>
      </c>
      <c r="B24" s="11" t="s">
        <v>171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0.10299999999999999</v>
      </c>
      <c r="M24" s="60">
        <f>famplan_unmet_need</f>
        <v>0.10299999999999999</v>
      </c>
      <c r="N24" s="60">
        <f>famplan_unmet_need</f>
        <v>0.10299999999999999</v>
      </c>
      <c r="O24" s="60">
        <f>famplan_unmet_need</f>
        <v>0.10299999999999999</v>
      </c>
    </row>
    <row r="25" spans="1:15" ht="15.75" customHeight="1" x14ac:dyDescent="0.25">
      <c r="B25" s="11" t="s">
        <v>175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5.9244940426635952E-2</v>
      </c>
      <c r="M25" s="60">
        <f>(1-food_insecure)*(0.49)+food_insecure*(0.7)</f>
        <v>0.49293999999999993</v>
      </c>
      <c r="N25" s="60">
        <f>(1-food_insecure)*(0.49)+food_insecure*(0.7)</f>
        <v>0.49293999999999993</v>
      </c>
      <c r="O25" s="60">
        <f>(1-food_insecure)*(0.49)+food_insecure*(0.7)</f>
        <v>0.49293999999999993</v>
      </c>
    </row>
    <row r="26" spans="1:15" ht="15.75" customHeight="1" x14ac:dyDescent="0.25">
      <c r="B26" s="11" t="s">
        <v>176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2.5390688754272556E-2</v>
      </c>
      <c r="M26" s="60">
        <f>(1-food_insecure)*(0.21)+food_insecure*(0.3)</f>
        <v>0.21126</v>
      </c>
      <c r="N26" s="60">
        <f>(1-food_insecure)*(0.21)+food_insecure*(0.3)</f>
        <v>0.21126</v>
      </c>
      <c r="O26" s="60">
        <f>(1-food_insecure)*(0.21)+food_insecure*(0.3)</f>
        <v>0.21126</v>
      </c>
    </row>
    <row r="27" spans="1:15" ht="15.75" customHeight="1" x14ac:dyDescent="0.25">
      <c r="B27" s="11" t="s">
        <v>177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3.555129098510755E-2</v>
      </c>
      <c r="M27" s="60">
        <f>(1-food_insecure)*(0.3)</f>
        <v>0.29580000000000001</v>
      </c>
      <c r="N27" s="60">
        <f>(1-food_insecure)*(0.3)</f>
        <v>0.29580000000000001</v>
      </c>
      <c r="O27" s="60">
        <f>(1-food_insecure)*(0.3)</f>
        <v>0.29580000000000001</v>
      </c>
    </row>
    <row r="28" spans="1:15" ht="15.75" customHeight="1" x14ac:dyDescent="0.25">
      <c r="B28" s="11" t="s">
        <v>178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0.87981307983398394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208</v>
      </c>
      <c r="B30" s="5" t="s">
        <v>172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173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174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182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0.01</v>
      </c>
      <c r="D34" s="60">
        <f t="shared" si="3"/>
        <v>0.01</v>
      </c>
      <c r="E34" s="60">
        <f t="shared" si="3"/>
        <v>0.01</v>
      </c>
      <c r="F34" s="60">
        <f t="shared" si="3"/>
        <v>0.01</v>
      </c>
      <c r="G34" s="60">
        <f t="shared" si="3"/>
        <v>0.01</v>
      </c>
      <c r="H34" s="60">
        <f t="shared" si="3"/>
        <v>0.01</v>
      </c>
      <c r="I34" s="60">
        <f t="shared" si="3"/>
        <v>0.01</v>
      </c>
      <c r="J34" s="60">
        <f t="shared" si="3"/>
        <v>0.01</v>
      </c>
      <c r="K34" s="60">
        <f t="shared" si="3"/>
        <v>0.01</v>
      </c>
      <c r="L34" s="60">
        <f t="shared" si="3"/>
        <v>0.01</v>
      </c>
      <c r="M34" s="60">
        <f t="shared" si="3"/>
        <v>0.01</v>
      </c>
      <c r="N34" s="60">
        <f t="shared" si="3"/>
        <v>0.01</v>
      </c>
      <c r="O34" s="60">
        <f t="shared" si="3"/>
        <v>0.01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c/rGyVZgGkhUAqOYeQhEdKJohJnZwMlPtVcOZvPWAG/LEg5Gne9k7nZtnui0huHfripADE6dYtqDmtQbZr0eCA==" saltValue="B8YmPLaFBUBxrPCcmxl/Fg==" spinCount="100000" sheet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4" customHeight="1" x14ac:dyDescent="0.3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16" workbookViewId="0">
      <selection activeCell="A12" sqref="A12:XFD12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5">
      <c r="A2" s="4" t="s">
        <v>76</v>
      </c>
      <c r="B2" s="5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90</v>
      </c>
      <c r="B18" s="5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207</v>
      </c>
      <c r="B27" s="5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208</v>
      </c>
      <c r="B33" s="5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/iNx8XhXnh7Xx3uVehiCurwu84DzhXX8Awjv5OnRpydvMo//nxQizpEy+BvB5S3dYPWZ66+QPd4XSBmiXvnjlw==" saltValue="ZzUL++HyQF3FaTSDA9XqUQ==" spinCount="100000" sheet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15" workbookViewId="0">
      <selection activeCell="E28" sqref="E28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ht="13.25" customHeight="1" x14ac:dyDescent="0.25">
      <c r="A2" s="5" t="s">
        <v>166</v>
      </c>
      <c r="B2" s="87"/>
      <c r="C2" s="87"/>
      <c r="D2" s="87"/>
      <c r="E2" s="87"/>
      <c r="F2" s="87"/>
      <c r="G2" s="87"/>
      <c r="H2" s="87"/>
      <c r="I2" s="87" t="s">
        <v>149</v>
      </c>
      <c r="J2" s="87"/>
      <c r="K2" s="87"/>
    </row>
    <row r="3" spans="1:11" ht="13.25" customHeight="1" x14ac:dyDescent="0.25">
      <c r="A3" s="5" t="s">
        <v>168</v>
      </c>
      <c r="B3" s="87"/>
      <c r="C3" s="87"/>
      <c r="D3" s="87"/>
      <c r="E3" s="87"/>
      <c r="F3" s="87"/>
      <c r="G3" s="87"/>
      <c r="H3" s="87" t="s">
        <v>149</v>
      </c>
      <c r="I3" s="87"/>
      <c r="J3" s="87"/>
      <c r="K3" s="87"/>
    </row>
    <row r="4" spans="1:11" ht="13.25" customHeight="1" x14ac:dyDescent="0.25">
      <c r="A4" s="5" t="s">
        <v>169</v>
      </c>
      <c r="B4" s="87"/>
      <c r="C4" s="87"/>
      <c r="D4" s="87" t="s">
        <v>149</v>
      </c>
      <c r="E4" s="87"/>
      <c r="F4" s="87"/>
      <c r="G4" s="87"/>
      <c r="H4" s="87"/>
      <c r="I4" s="87"/>
      <c r="J4" s="87"/>
      <c r="K4" s="87"/>
    </row>
    <row r="5" spans="1:11" ht="13.25" customHeight="1" x14ac:dyDescent="0.25">
      <c r="A5" s="5" t="s">
        <v>170</v>
      </c>
      <c r="B5" s="87"/>
      <c r="C5" s="87" t="s">
        <v>149</v>
      </c>
      <c r="D5" s="87"/>
      <c r="E5" s="87"/>
      <c r="F5" s="87"/>
      <c r="G5" s="87"/>
      <c r="H5" s="87"/>
      <c r="I5" s="87"/>
      <c r="J5" s="87"/>
      <c r="K5" s="87"/>
    </row>
    <row r="6" spans="1:11" ht="13.25" customHeight="1" x14ac:dyDescent="0.25">
      <c r="A6" s="5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149</v>
      </c>
      <c r="K6" s="87" t="s">
        <v>149</v>
      </c>
    </row>
    <row r="7" spans="1:11" ht="13.25" customHeight="1" x14ac:dyDescent="0.25">
      <c r="A7" s="5" t="s">
        <v>172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/>
      <c r="J7" s="87"/>
      <c r="K7" s="87"/>
    </row>
    <row r="8" spans="1:11" ht="13.25" customHeight="1" x14ac:dyDescent="0.25">
      <c r="A8" s="5" t="s">
        <v>173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/>
      <c r="J8" s="87"/>
      <c r="K8" s="87"/>
    </row>
    <row r="9" spans="1:11" ht="13.25" customHeight="1" x14ac:dyDescent="0.25">
      <c r="A9" s="5" t="s">
        <v>174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/>
      <c r="J9" s="87"/>
      <c r="K9" s="87"/>
    </row>
    <row r="10" spans="1:11" ht="13.25" customHeight="1" x14ac:dyDescent="0.25">
      <c r="A10" s="11" t="s">
        <v>175</v>
      </c>
      <c r="B10" s="87"/>
      <c r="C10" s="87" t="s">
        <v>149</v>
      </c>
      <c r="D10" s="87"/>
      <c r="E10" s="87"/>
      <c r="F10" s="87"/>
      <c r="G10" s="87"/>
      <c r="H10" s="87"/>
      <c r="I10" s="87"/>
      <c r="J10" s="87"/>
      <c r="K10" s="87"/>
    </row>
    <row r="11" spans="1:11" ht="13.25" customHeight="1" x14ac:dyDescent="0.25">
      <c r="A11" s="11" t="s">
        <v>176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/>
      <c r="K11" s="87"/>
    </row>
    <row r="12" spans="1:11" ht="13.25" customHeight="1" x14ac:dyDescent="0.25">
      <c r="A12" s="11" t="s">
        <v>177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/>
    </row>
    <row r="13" spans="1:11" ht="13.25" customHeight="1" x14ac:dyDescent="0.25">
      <c r="A13" s="11" t="s">
        <v>178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/>
    </row>
    <row r="14" spans="1:11" ht="13.25" customHeight="1" x14ac:dyDescent="0.25">
      <c r="A14" s="5" t="s">
        <v>179</v>
      </c>
      <c r="B14" s="87"/>
      <c r="C14" s="87" t="s">
        <v>149</v>
      </c>
      <c r="D14" s="87"/>
      <c r="E14" s="87"/>
      <c r="F14" s="87"/>
      <c r="G14" s="87"/>
      <c r="H14" s="87"/>
      <c r="I14" s="87" t="s">
        <v>149</v>
      </c>
      <c r="J14" s="87"/>
      <c r="K14" s="87"/>
    </row>
    <row r="15" spans="1:11" ht="13.25" customHeight="1" x14ac:dyDescent="0.25">
      <c r="A15" s="5" t="s">
        <v>180</v>
      </c>
      <c r="B15" s="87"/>
      <c r="C15" s="87" t="s">
        <v>149</v>
      </c>
      <c r="D15" s="87"/>
      <c r="E15" s="87"/>
      <c r="F15" s="87"/>
      <c r="G15" s="87"/>
      <c r="H15" s="87"/>
      <c r="I15" s="87" t="s">
        <v>149</v>
      </c>
      <c r="J15" s="87"/>
      <c r="K15" s="87"/>
    </row>
    <row r="16" spans="1:11" ht="13.25" customHeight="1" x14ac:dyDescent="0.25">
      <c r="A16" s="5" t="s">
        <v>181</v>
      </c>
      <c r="B16" s="87"/>
      <c r="C16" s="87" t="s">
        <v>149</v>
      </c>
      <c r="D16" s="87"/>
      <c r="E16" s="87"/>
      <c r="F16" s="87"/>
      <c r="G16" s="87"/>
      <c r="H16" s="87" t="s">
        <v>149</v>
      </c>
      <c r="I16" s="87" t="s">
        <v>149</v>
      </c>
      <c r="J16" s="87"/>
      <c r="K16" s="87"/>
    </row>
    <row r="17" spans="1:11" ht="13.25" customHeight="1" x14ac:dyDescent="0.25">
      <c r="A17" s="5" t="s">
        <v>182</v>
      </c>
      <c r="B17" s="87"/>
      <c r="C17" s="87" t="s">
        <v>149</v>
      </c>
      <c r="D17" s="87"/>
      <c r="E17" s="87"/>
      <c r="F17" s="87"/>
      <c r="G17" s="87"/>
      <c r="H17" s="87"/>
      <c r="I17" s="87"/>
      <c r="J17" s="87"/>
      <c r="K17" s="87"/>
    </row>
    <row r="18" spans="1:11" ht="13.25" customHeight="1" x14ac:dyDescent="0.25">
      <c r="A18" s="5" t="s">
        <v>148</v>
      </c>
      <c r="B18" s="87" t="s">
        <v>149</v>
      </c>
      <c r="C18" s="87"/>
      <c r="D18" s="87"/>
      <c r="E18" s="87"/>
      <c r="F18" s="87" t="s">
        <v>149</v>
      </c>
      <c r="G18" s="87"/>
      <c r="H18" s="87"/>
      <c r="I18" s="87"/>
      <c r="J18" s="87"/>
      <c r="K18" s="87"/>
    </row>
    <row r="19" spans="1:11" ht="13.25" customHeight="1" x14ac:dyDescent="0.25">
      <c r="A19" s="5" t="s">
        <v>151</v>
      </c>
      <c r="B19" s="87" t="s">
        <v>149</v>
      </c>
      <c r="C19" s="87"/>
      <c r="D19" s="87"/>
      <c r="E19" s="87"/>
      <c r="F19" s="87" t="s">
        <v>149</v>
      </c>
      <c r="G19" s="87"/>
      <c r="H19" s="87"/>
      <c r="I19" s="87"/>
      <c r="J19" s="87"/>
      <c r="K19" s="87"/>
    </row>
    <row r="20" spans="1:11" ht="13.25" customHeight="1" x14ac:dyDescent="0.25">
      <c r="A20" s="5" t="s">
        <v>152</v>
      </c>
      <c r="B20" s="87" t="s">
        <v>149</v>
      </c>
      <c r="C20" s="87"/>
      <c r="D20" s="87"/>
      <c r="E20" s="87"/>
      <c r="F20" s="87" t="s">
        <v>149</v>
      </c>
      <c r="G20" s="87"/>
      <c r="H20" s="87"/>
      <c r="I20" s="87"/>
      <c r="J20" s="87"/>
      <c r="K20" s="87"/>
    </row>
    <row r="21" spans="1:11" ht="13.25" customHeight="1" x14ac:dyDescent="0.25">
      <c r="A21" s="5" t="s">
        <v>183</v>
      </c>
      <c r="B21" s="87"/>
      <c r="C21" s="87"/>
      <c r="D21" s="87"/>
      <c r="E21" s="87"/>
      <c r="F21" s="87"/>
      <c r="G21" s="87"/>
      <c r="H21" s="87" t="s">
        <v>149</v>
      </c>
      <c r="I21" s="87" t="s">
        <v>149</v>
      </c>
      <c r="J21" s="87"/>
      <c r="K21" s="87"/>
    </row>
    <row r="22" spans="1:11" ht="13.25" customHeight="1" x14ac:dyDescent="0.25">
      <c r="A22" s="5" t="s">
        <v>184</v>
      </c>
      <c r="B22" s="87" t="s">
        <v>149</v>
      </c>
      <c r="C22" s="87" t="s">
        <v>149</v>
      </c>
      <c r="D22" s="87" t="s">
        <v>149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149</v>
      </c>
      <c r="D23" s="87"/>
      <c r="E23" s="87"/>
      <c r="F23" s="87"/>
      <c r="G23" s="87"/>
      <c r="H23" s="87"/>
      <c r="I23" s="87" t="s">
        <v>149</v>
      </c>
      <c r="J23" s="87"/>
      <c r="K23" s="87"/>
    </row>
    <row r="24" spans="1:11" x14ac:dyDescent="0.25">
      <c r="A24" s="5" t="s">
        <v>186</v>
      </c>
      <c r="B24" s="87"/>
      <c r="C24" s="87"/>
      <c r="D24" s="87"/>
      <c r="E24" s="87"/>
      <c r="F24" s="87"/>
      <c r="G24" s="87"/>
      <c r="H24" s="87" t="s">
        <v>149</v>
      </c>
      <c r="I24" s="87"/>
      <c r="J24" s="87"/>
      <c r="K24" s="87"/>
    </row>
    <row r="25" spans="1:11" x14ac:dyDescent="0.25">
      <c r="A25" s="5" t="s">
        <v>187</v>
      </c>
      <c r="B25" s="87"/>
      <c r="C25" s="87"/>
      <c r="D25" s="87"/>
      <c r="E25" s="87"/>
      <c r="F25" s="87"/>
      <c r="G25" s="87"/>
      <c r="H25" s="87" t="s">
        <v>149</v>
      </c>
      <c r="I25" s="87"/>
      <c r="J25" s="87"/>
      <c r="K25" s="87"/>
    </row>
    <row r="26" spans="1:11" x14ac:dyDescent="0.25">
      <c r="A26" s="5" t="s">
        <v>188</v>
      </c>
      <c r="B26" s="87"/>
      <c r="C26" s="87" t="s">
        <v>149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189</v>
      </c>
      <c r="B27" s="87"/>
      <c r="C27" s="87" t="s">
        <v>149</v>
      </c>
      <c r="D27" s="87"/>
      <c r="E27" s="87"/>
      <c r="F27" s="87"/>
      <c r="G27" s="87"/>
      <c r="H27" s="87"/>
      <c r="I27" s="87" t="s">
        <v>149</v>
      </c>
      <c r="J27" s="87"/>
      <c r="K27" s="87"/>
    </row>
    <row r="28" spans="1:11" x14ac:dyDescent="0.25">
      <c r="A28" s="5" t="s">
        <v>190</v>
      </c>
      <c r="B28" s="87"/>
      <c r="C28" s="87"/>
      <c r="D28" s="87"/>
      <c r="E28" s="87"/>
      <c r="F28" s="87"/>
      <c r="G28" s="87"/>
      <c r="H28" s="87" t="s">
        <v>149</v>
      </c>
      <c r="I28" s="87"/>
      <c r="J28" s="87"/>
      <c r="K28" s="87"/>
    </row>
    <row r="29" spans="1:11" x14ac:dyDescent="0.25">
      <c r="A29" s="5" t="s">
        <v>191</v>
      </c>
      <c r="B29" s="87" t="s">
        <v>149</v>
      </c>
      <c r="C29" s="87"/>
      <c r="D29" s="87" t="s">
        <v>149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192</v>
      </c>
      <c r="B30" s="87" t="s">
        <v>149</v>
      </c>
      <c r="C30" s="87" t="s">
        <v>149</v>
      </c>
      <c r="D30" s="87" t="s">
        <v>149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157</v>
      </c>
      <c r="B31" s="87"/>
      <c r="C31" s="87"/>
      <c r="D31" s="87"/>
      <c r="E31" s="87" t="s">
        <v>149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149</v>
      </c>
      <c r="H32" s="87" t="s">
        <v>149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149</v>
      </c>
      <c r="H33" s="87" t="s">
        <v>149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149</v>
      </c>
      <c r="H34" s="87" t="s">
        <v>149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149</v>
      </c>
      <c r="H35" s="87" t="s">
        <v>149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149</v>
      </c>
      <c r="H36" s="87" t="s">
        <v>149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149</v>
      </c>
      <c r="H37" s="87" t="s">
        <v>149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149</v>
      </c>
      <c r="I38" s="87"/>
      <c r="J38" s="87"/>
      <c r="K38" s="87"/>
    </row>
    <row r="39" spans="1:11" x14ac:dyDescent="0.25">
      <c r="A39" s="5" t="s">
        <v>200</v>
      </c>
      <c r="B39" s="87" t="s">
        <v>149</v>
      </c>
      <c r="C39" s="87"/>
      <c r="D39" s="87"/>
      <c r="E39" s="87"/>
      <c r="F39" s="87"/>
      <c r="G39" s="87" t="s">
        <v>149</v>
      </c>
      <c r="H39" s="87" t="s">
        <v>149</v>
      </c>
      <c r="I39" s="87"/>
      <c r="J39" s="87"/>
      <c r="K39" s="87"/>
    </row>
  </sheetData>
  <sheetProtection algorithmName="SHA-512" hashValue="r5uzVyzuX2cUXRUCd1eCp2cRQdoXMaTi7+j4lrtBEgwzDwwg07iN9Zvo/tiwSsVCYAFkOMHpp89HQAzExnqtEg==" saltValue="Yl6vtKysPUoNlkWylvJDXA==" spinCount="100000" sheet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ht="13.25" customHeight="1" x14ac:dyDescent="0.25">
      <c r="A2" s="8" t="s">
        <v>67</v>
      </c>
      <c r="B2" s="87" t="s">
        <v>149</v>
      </c>
      <c r="C2" s="87" t="s">
        <v>149</v>
      </c>
      <c r="D2" s="87" t="s">
        <v>149</v>
      </c>
      <c r="E2" s="87" t="s">
        <v>149</v>
      </c>
      <c r="F2" s="87" t="s">
        <v>149</v>
      </c>
      <c r="G2" s="87" t="s">
        <v>149</v>
      </c>
      <c r="H2" s="87" t="s">
        <v>149</v>
      </c>
      <c r="I2" s="87"/>
      <c r="J2" s="87"/>
      <c r="K2" s="87"/>
    </row>
    <row r="3" spans="1:11" ht="13.25" customHeight="1" x14ac:dyDescent="0.25">
      <c r="A3" s="8" t="s">
        <v>77</v>
      </c>
      <c r="B3" s="87" t="s">
        <v>149</v>
      </c>
      <c r="C3" s="87" t="s">
        <v>149</v>
      </c>
      <c r="D3" s="87" t="s">
        <v>149</v>
      </c>
      <c r="E3" s="87" t="s">
        <v>149</v>
      </c>
      <c r="F3" s="87" t="s">
        <v>149</v>
      </c>
      <c r="G3" s="87" t="s">
        <v>149</v>
      </c>
      <c r="H3" s="87" t="s">
        <v>149</v>
      </c>
      <c r="I3" s="87"/>
      <c r="J3" s="87"/>
      <c r="K3" s="87"/>
    </row>
    <row r="4" spans="1:11" ht="13.25" customHeight="1" x14ac:dyDescent="0.25">
      <c r="A4" s="8" t="s">
        <v>78</v>
      </c>
      <c r="B4" s="87" t="s">
        <v>149</v>
      </c>
      <c r="C4" s="87" t="s">
        <v>149</v>
      </c>
      <c r="D4" s="87" t="s">
        <v>149</v>
      </c>
      <c r="E4" s="87" t="s">
        <v>149</v>
      </c>
      <c r="F4" s="87" t="s">
        <v>149</v>
      </c>
      <c r="G4" s="87" t="s">
        <v>149</v>
      </c>
      <c r="H4" s="87" t="s">
        <v>149</v>
      </c>
      <c r="I4" s="87"/>
      <c r="J4" s="87"/>
      <c r="K4" s="87"/>
    </row>
    <row r="5" spans="1:11" ht="13.25" customHeight="1" x14ac:dyDescent="0.25">
      <c r="A5" s="8" t="s">
        <v>79</v>
      </c>
      <c r="B5" s="87" t="s">
        <v>149</v>
      </c>
      <c r="C5" s="87" t="s">
        <v>149</v>
      </c>
      <c r="D5" s="87" t="s">
        <v>149</v>
      </c>
      <c r="E5" s="87" t="s">
        <v>149</v>
      </c>
      <c r="F5" s="87" t="s">
        <v>149</v>
      </c>
      <c r="G5" s="87" t="s">
        <v>149</v>
      </c>
      <c r="H5" s="87" t="s">
        <v>149</v>
      </c>
      <c r="I5" s="87"/>
      <c r="J5" s="87"/>
      <c r="K5" s="87"/>
    </row>
    <row r="6" spans="1:11" ht="13.25" customHeight="1" x14ac:dyDescent="0.25">
      <c r="A6" s="8" t="s">
        <v>80</v>
      </c>
      <c r="B6" s="87" t="s">
        <v>149</v>
      </c>
      <c r="C6" s="87" t="s">
        <v>149</v>
      </c>
      <c r="D6" s="87" t="s">
        <v>149</v>
      </c>
      <c r="E6" s="87" t="s">
        <v>149</v>
      </c>
      <c r="F6" s="87" t="s">
        <v>149</v>
      </c>
      <c r="G6" s="87" t="s">
        <v>149</v>
      </c>
      <c r="H6" s="87" t="s">
        <v>149</v>
      </c>
      <c r="I6" s="87"/>
      <c r="J6" s="87"/>
      <c r="K6" s="87"/>
    </row>
    <row r="7" spans="1:11" ht="13.25" customHeight="1" x14ac:dyDescent="0.25">
      <c r="A7" s="8" t="s">
        <v>112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 t="s">
        <v>149</v>
      </c>
      <c r="J7" s="87"/>
      <c r="K7" s="87"/>
    </row>
    <row r="8" spans="1:11" ht="13.25" customHeight="1" x14ac:dyDescent="0.25">
      <c r="A8" s="8" t="s">
        <v>113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 t="s">
        <v>149</v>
      </c>
      <c r="J8" s="87"/>
      <c r="K8" s="87"/>
    </row>
    <row r="9" spans="1:11" ht="13.25" customHeight="1" x14ac:dyDescent="0.25">
      <c r="A9" s="8" t="s">
        <v>114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 t="s">
        <v>149</v>
      </c>
      <c r="J9" s="87"/>
      <c r="K9" s="87"/>
    </row>
    <row r="10" spans="1:11" ht="13.25" customHeight="1" x14ac:dyDescent="0.25">
      <c r="A10" s="8" t="s">
        <v>115</v>
      </c>
      <c r="B10" s="87"/>
      <c r="C10" s="87" t="s">
        <v>149</v>
      </c>
      <c r="D10" s="87"/>
      <c r="E10" s="87"/>
      <c r="F10" s="87"/>
      <c r="G10" s="87"/>
      <c r="H10" s="87" t="s">
        <v>149</v>
      </c>
      <c r="I10" s="87" t="s">
        <v>149</v>
      </c>
      <c r="J10" s="87"/>
      <c r="K10" s="87"/>
    </row>
    <row r="11" spans="1:11" ht="13.25" customHeight="1" x14ac:dyDescent="0.25">
      <c r="A11" s="8" t="s">
        <v>58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 t="s">
        <v>149</v>
      </c>
      <c r="K11" s="87" t="s">
        <v>149</v>
      </c>
    </row>
    <row r="12" spans="1:11" ht="13.25" customHeight="1" x14ac:dyDescent="0.25">
      <c r="A12" s="8" t="s">
        <v>59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 t="s">
        <v>149</v>
      </c>
    </row>
    <row r="13" spans="1:11" ht="13.25" customHeight="1" x14ac:dyDescent="0.25">
      <c r="A13" s="8" t="s">
        <v>60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 t="s">
        <v>149</v>
      </c>
    </row>
    <row r="14" spans="1:11" ht="13.25" customHeight="1" x14ac:dyDescent="0.25">
      <c r="A14" s="8" t="s">
        <v>61</v>
      </c>
      <c r="B14" s="87"/>
      <c r="C14" s="87" t="s">
        <v>149</v>
      </c>
      <c r="D14" s="87"/>
      <c r="E14" s="87"/>
      <c r="F14" s="87"/>
      <c r="G14" s="87"/>
      <c r="H14" s="87"/>
      <c r="I14" s="87"/>
      <c r="J14" s="87"/>
      <c r="K14" s="87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13" zoomScale="85" zoomScaleNormal="85" workbookViewId="0">
      <selection activeCell="E28" sqref="E28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ht="13" customHeight="1" x14ac:dyDescent="0.3">
      <c r="A2" s="4" t="s">
        <v>232</v>
      </c>
      <c r="B2" s="103" t="s">
        <v>90</v>
      </c>
      <c r="C2" s="8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ht="13.25" customHeight="1" x14ac:dyDescent="0.25">
      <c r="B3" s="104"/>
      <c r="C3" s="8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ht="13.25" customHeight="1" x14ac:dyDescent="0.25">
      <c r="B4" s="104"/>
      <c r="C4" s="8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ht="13.25" customHeight="1" x14ac:dyDescent="0.25">
      <c r="B5" s="103" t="s">
        <v>67</v>
      </c>
      <c r="C5" s="8" t="s">
        <v>145</v>
      </c>
      <c r="D5" s="88">
        <f>IFERROR((MIN(1,1.56*'Breastfeeding distribution'!$C$2)/(1-MIN(1,1.56*'Breastfeeding distribution'!$C$2))) /
('Breastfeeding distribution'!$C$2/(1-'Breastfeeding distribution'!$C$2)), 1.56)</f>
        <v>28.224488666637576</v>
      </c>
      <c r="E5" s="88">
        <v>1</v>
      </c>
      <c r="F5" s="88">
        <v>1</v>
      </c>
      <c r="G5" s="88">
        <v>1</v>
      </c>
      <c r="H5" s="88">
        <v>1</v>
      </c>
    </row>
    <row r="6" spans="1:10" ht="13.25" customHeight="1" x14ac:dyDescent="0.25">
      <c r="B6" s="104"/>
      <c r="C6" s="8" t="s">
        <v>146</v>
      </c>
      <c r="D6" s="88">
        <f>IFERROR((MIN(1,1.56*'Breastfeeding distribution'!$C$2)/(1-MIN(1,1.56*'Breastfeeding distribution'!$C$2))) /
('Breastfeeding distribution'!$C$2/(1-'Breastfeeding distribution'!$C$2)), 1.56)</f>
        <v>28.224488666637576</v>
      </c>
      <c r="E6" s="88">
        <v>1</v>
      </c>
      <c r="F6" s="88">
        <v>1</v>
      </c>
      <c r="G6" s="88">
        <v>1</v>
      </c>
      <c r="H6" s="88">
        <v>1</v>
      </c>
    </row>
    <row r="7" spans="1:10" ht="13.25" customHeight="1" x14ac:dyDescent="0.25">
      <c r="B7" s="104"/>
      <c r="C7" s="8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ht="13.25" customHeight="1" x14ac:dyDescent="0.25">
      <c r="B8" s="103" t="s">
        <v>77</v>
      </c>
      <c r="C8" s="8" t="s">
        <v>145</v>
      </c>
      <c r="D8" s="88">
        <v>1</v>
      </c>
      <c r="E8" s="88">
        <f>IFERROR((MIN(1,1.56*'Breastfeeding distribution'!$D$2)/(1-MIN(1,1.56*'Breastfeeding distribution'!$D$2))) /
('Breastfeeding distribution'!$D$2/(1-'Breastfeeding distribution'!$D$2)), 1.56)</f>
        <v>2.722552217009242</v>
      </c>
      <c r="F8" s="88">
        <v>1</v>
      </c>
      <c r="G8" s="88">
        <v>1</v>
      </c>
      <c r="H8" s="88">
        <v>1</v>
      </c>
    </row>
    <row r="9" spans="1:10" ht="13.25" customHeight="1" x14ac:dyDescent="0.25">
      <c r="B9" s="104"/>
      <c r="C9" s="8" t="s">
        <v>146</v>
      </c>
      <c r="D9" s="88">
        <v>1</v>
      </c>
      <c r="E9" s="88">
        <f>IFERROR((MIN(1,1.56*'Breastfeeding distribution'!$D$2)/(1-MIN(1,1.56*'Breastfeeding distribution'!$D$2))) /
('Breastfeeding distribution'!$D$2/(1-'Breastfeeding distribution'!$D$2)), 1.56)</f>
        <v>2.722552217009242</v>
      </c>
      <c r="F9" s="88">
        <v>1</v>
      </c>
      <c r="G9" s="88">
        <v>1</v>
      </c>
      <c r="H9" s="88">
        <v>1</v>
      </c>
    </row>
    <row r="10" spans="1:10" ht="13.25" customHeight="1" x14ac:dyDescent="0.25">
      <c r="B10" s="104"/>
      <c r="C10" s="8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ht="13.25" customHeight="1" x14ac:dyDescent="0.25">
      <c r="B11" s="103" t="s">
        <v>78</v>
      </c>
      <c r="C11" s="8" t="s">
        <v>145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ht="13.25" customHeight="1" x14ac:dyDescent="0.25">
      <c r="B12" s="104"/>
      <c r="C12" s="8" t="s">
        <v>146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ht="13.25" customHeight="1" x14ac:dyDescent="0.25">
      <c r="B13" s="104"/>
      <c r="C13" s="8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ht="13.25" customHeight="1" x14ac:dyDescent="0.25">
      <c r="B14" s="103" t="s">
        <v>79</v>
      </c>
      <c r="C14" s="8" t="s">
        <v>145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ht="13.25" customHeight="1" x14ac:dyDescent="0.25">
      <c r="B15" s="104"/>
      <c r="C15" s="8" t="s">
        <v>146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ht="13.25" customHeight="1" x14ac:dyDescent="0.25">
      <c r="B16" s="104"/>
      <c r="C16" s="8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150</v>
      </c>
      <c r="C17" s="8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ht="13.25" customHeight="1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90</v>
      </c>
      <c r="C19" s="8" t="s">
        <v>145</v>
      </c>
      <c r="D19" s="88">
        <v>1</v>
      </c>
      <c r="E19" s="88">
        <v>1</v>
      </c>
      <c r="F19" s="88">
        <v>1</v>
      </c>
      <c r="G19" s="88">
        <v>1</v>
      </c>
      <c r="H19" s="88">
        <v>1</v>
      </c>
    </row>
    <row r="20" spans="1:8" ht="13.25" customHeight="1" x14ac:dyDescent="0.25">
      <c r="B20" s="104"/>
      <c r="C20" s="8" t="s">
        <v>146</v>
      </c>
      <c r="D20" s="88">
        <v>1</v>
      </c>
      <c r="E20" s="88">
        <v>1</v>
      </c>
      <c r="F20" s="88">
        <v>1</v>
      </c>
      <c r="G20" s="88">
        <v>1</v>
      </c>
      <c r="H20" s="88">
        <v>1</v>
      </c>
    </row>
    <row r="21" spans="1:8" ht="13.25" customHeight="1" x14ac:dyDescent="0.25">
      <c r="B21" s="104"/>
      <c r="C21" s="8" t="s">
        <v>147</v>
      </c>
      <c r="D21" s="88">
        <v>1</v>
      </c>
      <c r="E21" s="88">
        <v>1</v>
      </c>
      <c r="F21" s="88">
        <v>1</v>
      </c>
      <c r="G21" s="88">
        <v>1</v>
      </c>
      <c r="H21" s="88">
        <v>1</v>
      </c>
    </row>
    <row r="22" spans="1:8" ht="13.25" customHeight="1" x14ac:dyDescent="0.25">
      <c r="B22" s="103" t="s">
        <v>67</v>
      </c>
      <c r="C22" s="8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ht="13.25" customHeight="1" x14ac:dyDescent="0.25">
      <c r="B23" s="104"/>
      <c r="C23" s="8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ht="13.25" customHeight="1" x14ac:dyDescent="0.25">
      <c r="B24" s="104"/>
      <c r="C24" s="8" t="s">
        <v>147</v>
      </c>
      <c r="D24" s="88">
        <v>1</v>
      </c>
      <c r="E24" s="88">
        <v>1</v>
      </c>
      <c r="F24" s="88">
        <v>1</v>
      </c>
      <c r="G24" s="88">
        <v>1</v>
      </c>
      <c r="H24" s="88">
        <v>1</v>
      </c>
    </row>
    <row r="25" spans="1:8" ht="13.25" customHeight="1" x14ac:dyDescent="0.25">
      <c r="B25" s="103" t="s">
        <v>77</v>
      </c>
      <c r="C25" s="8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ht="13.25" customHeight="1" x14ac:dyDescent="0.25">
      <c r="B26" s="104"/>
      <c r="C26" s="8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147</v>
      </c>
      <c r="D27" s="88">
        <v>1</v>
      </c>
      <c r="E27" s="88">
        <v>1</v>
      </c>
      <c r="F27" s="88">
        <v>1</v>
      </c>
      <c r="G27" s="88">
        <v>1</v>
      </c>
      <c r="H27" s="88">
        <v>1</v>
      </c>
    </row>
    <row r="28" spans="1:8" x14ac:dyDescent="0.25">
      <c r="B28" s="103" t="s">
        <v>78</v>
      </c>
      <c r="C28" s="8" t="s">
        <v>145</v>
      </c>
      <c r="D28" s="88">
        <v>1</v>
      </c>
      <c r="E28" s="88">
        <v>1</v>
      </c>
      <c r="F28" s="88">
        <v>1</v>
      </c>
      <c r="G28" s="88">
        <v>1</v>
      </c>
      <c r="H28" s="88">
        <v>1</v>
      </c>
    </row>
    <row r="29" spans="1:8" x14ac:dyDescent="0.25">
      <c r="B29" s="104"/>
      <c r="C29" s="8" t="s">
        <v>146</v>
      </c>
      <c r="D29" s="88">
        <v>1</v>
      </c>
      <c r="E29" s="88">
        <v>1</v>
      </c>
      <c r="F29" s="88">
        <v>1</v>
      </c>
      <c r="G29" s="88">
        <v>1</v>
      </c>
      <c r="H29" s="88">
        <v>1</v>
      </c>
    </row>
    <row r="30" spans="1:8" x14ac:dyDescent="0.25">
      <c r="B30" s="104"/>
      <c r="C30" s="8" t="s">
        <v>147</v>
      </c>
      <c r="D30" s="88">
        <v>1</v>
      </c>
      <c r="E30" s="88">
        <v>1</v>
      </c>
      <c r="F30" s="88">
        <v>1</v>
      </c>
      <c r="G30" s="88">
        <v>1</v>
      </c>
      <c r="H30" s="88">
        <v>1</v>
      </c>
    </row>
    <row r="31" spans="1:8" x14ac:dyDescent="0.25">
      <c r="B31" s="103" t="s">
        <v>79</v>
      </c>
      <c r="C31" s="8" t="s">
        <v>145</v>
      </c>
      <c r="D31" s="88">
        <v>1</v>
      </c>
      <c r="E31" s="88">
        <v>1</v>
      </c>
      <c r="F31" s="88">
        <v>1</v>
      </c>
      <c r="G31" s="88">
        <v>1</v>
      </c>
      <c r="H31" s="88">
        <v>1</v>
      </c>
    </row>
    <row r="32" spans="1:8" x14ac:dyDescent="0.25">
      <c r="B32" s="104"/>
      <c r="C32" s="8" t="s">
        <v>146</v>
      </c>
      <c r="D32" s="88">
        <v>1</v>
      </c>
      <c r="E32" s="88">
        <v>1</v>
      </c>
      <c r="F32" s="88">
        <v>1</v>
      </c>
      <c r="G32" s="88">
        <v>1</v>
      </c>
      <c r="H32" s="88">
        <v>1</v>
      </c>
    </row>
    <row r="33" spans="1:8" x14ac:dyDescent="0.25">
      <c r="B33" s="104"/>
      <c r="C33" s="8" t="s">
        <v>147</v>
      </c>
      <c r="D33" s="88">
        <v>1</v>
      </c>
      <c r="E33" s="88">
        <v>1</v>
      </c>
      <c r="F33" s="88">
        <v>1</v>
      </c>
      <c r="G33" s="88">
        <v>1</v>
      </c>
      <c r="H33" s="88">
        <v>1</v>
      </c>
    </row>
    <row r="34" spans="1:8" ht="13" customHeight="1" x14ac:dyDescent="0.25">
      <c r="B34" s="65" t="s">
        <v>150</v>
      </c>
      <c r="C34" s="8" t="s">
        <v>147</v>
      </c>
      <c r="D34" s="88">
        <v>1</v>
      </c>
      <c r="E34" s="88">
        <v>1</v>
      </c>
      <c r="F34" s="88">
        <v>1</v>
      </c>
      <c r="G34" s="88">
        <v>1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90</v>
      </c>
      <c r="C36" s="8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67</v>
      </c>
      <c r="C39" s="8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77</v>
      </c>
      <c r="C42" s="8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78</v>
      </c>
      <c r="C45" s="8" t="s">
        <v>145</v>
      </c>
      <c r="D45" s="88">
        <v>1</v>
      </c>
      <c r="E45" s="88">
        <v>1</v>
      </c>
      <c r="F45" s="88">
        <v>1</v>
      </c>
      <c r="G45" s="88">
        <v>1</v>
      </c>
      <c r="H45" s="88">
        <v>1</v>
      </c>
    </row>
    <row r="46" spans="1:8" x14ac:dyDescent="0.25">
      <c r="B46" s="104"/>
      <c r="C46" s="8" t="s">
        <v>146</v>
      </c>
      <c r="D46" s="88">
        <v>1</v>
      </c>
      <c r="E46" s="88">
        <v>1</v>
      </c>
      <c r="F46" s="88">
        <v>1</v>
      </c>
      <c r="G46" s="88">
        <v>1</v>
      </c>
      <c r="H46" s="88">
        <v>1</v>
      </c>
    </row>
    <row r="47" spans="1:8" x14ac:dyDescent="0.25">
      <c r="B47" s="104"/>
      <c r="C47" s="8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79</v>
      </c>
      <c r="C48" s="8" t="s">
        <v>145</v>
      </c>
      <c r="D48" s="88">
        <v>1</v>
      </c>
      <c r="E48" s="88">
        <v>1</v>
      </c>
      <c r="F48" s="88">
        <v>1</v>
      </c>
      <c r="G48" s="88">
        <v>1</v>
      </c>
      <c r="H48" s="88">
        <v>1</v>
      </c>
    </row>
    <row r="49" spans="1:8" x14ac:dyDescent="0.25">
      <c r="B49" s="104"/>
      <c r="C49" s="8" t="s">
        <v>146</v>
      </c>
      <c r="D49" s="88">
        <v>1</v>
      </c>
      <c r="E49" s="88">
        <v>1</v>
      </c>
      <c r="F49" s="88">
        <v>1</v>
      </c>
      <c r="G49" s="88">
        <v>1</v>
      </c>
      <c r="H49" s="88">
        <v>1</v>
      </c>
    </row>
    <row r="50" spans="1:8" x14ac:dyDescent="0.25">
      <c r="B50" s="104"/>
      <c r="C50" s="8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150</v>
      </c>
      <c r="C51" s="8" t="s">
        <v>147</v>
      </c>
      <c r="D51" s="88">
        <v>1</v>
      </c>
      <c r="E51" s="88">
        <v>1</v>
      </c>
      <c r="F51" s="88">
        <v>1</v>
      </c>
      <c r="G51" s="88">
        <v>1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ht="13" customHeight="1" x14ac:dyDescent="0.3">
      <c r="A55" s="4" t="s">
        <v>236</v>
      </c>
      <c r="B55" s="103" t="s">
        <v>90</v>
      </c>
      <c r="C55" s="8" t="s">
        <v>145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146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147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67</v>
      </c>
      <c r="C58" s="8" t="s">
        <v>145</v>
      </c>
      <c r="D58" s="88">
        <f>IFERROR((MIN(1,1.37*'Breastfeeding distribution'!$C$2)/(1-MIN(1,1.37*'Breastfeeding distribution'!$C$2))) /
('Breastfeeding distribution'!$C$2/(1-'Breastfeeding distribution'!$C$2)), 1.37)</f>
        <v>3.6455158509888377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146</v>
      </c>
      <c r="D59" s="88">
        <f>IFERROR((MIN(1,1.37*'Breastfeeding distribution'!$C$2)/(1-MIN(1,1.37*'Breastfeeding distribution'!$C$2))) /
('Breastfeeding distribution'!$C$2/(1-'Breastfeeding distribution'!$C$2)), 1.37)</f>
        <v>3.6455158509888377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147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77</v>
      </c>
      <c r="C61" s="8" t="s">
        <v>145</v>
      </c>
      <c r="D61" s="88">
        <f t="shared" si="2"/>
        <v>1</v>
      </c>
      <c r="E61" s="88">
        <f>IFERROR((MIN(1,1.37*'Breastfeeding distribution'!$D$2)/(1-MIN(1,1.37*'Breastfeeding distribution'!$D$2))) /
('Breastfeeding distribution'!$D$2/(1-'Breastfeeding distribution'!$D$2)), 1.37)</f>
        <v>1.9084247031368664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146</v>
      </c>
      <c r="D62" s="88">
        <f t="shared" si="2"/>
        <v>1</v>
      </c>
      <c r="E62" s="88">
        <f>IFERROR((MIN(1,1.37*'Breastfeeding distribution'!$D$2)/(1-MIN(1,1.37*'Breastfeeding distribution'!$D$2))) /
('Breastfeeding distribution'!$D$2/(1-'Breastfeeding distribution'!$D$2)), 1.37)</f>
        <v>1.9084247031368664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147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78</v>
      </c>
      <c r="C64" s="8" t="s">
        <v>145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146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147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79</v>
      </c>
      <c r="C67" s="8" t="s">
        <v>145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146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147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150</v>
      </c>
      <c r="C70" s="8" t="s">
        <v>147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90</v>
      </c>
      <c r="C72" s="8" t="s">
        <v>145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1</v>
      </c>
      <c r="G72" s="88">
        <f t="shared" si="6"/>
        <v>1</v>
      </c>
      <c r="H72" s="88">
        <f t="shared" si="6"/>
        <v>1</v>
      </c>
    </row>
    <row r="73" spans="1:8" x14ac:dyDescent="0.25">
      <c r="B73" s="104"/>
      <c r="C73" s="8" t="s">
        <v>146</v>
      </c>
      <c r="D73" s="88">
        <f t="shared" si="6"/>
        <v>1</v>
      </c>
      <c r="E73" s="88">
        <f t="shared" si="6"/>
        <v>1</v>
      </c>
      <c r="F73" s="88">
        <f t="shared" si="6"/>
        <v>1</v>
      </c>
      <c r="G73" s="88">
        <f t="shared" si="6"/>
        <v>1</v>
      </c>
      <c r="H73" s="88">
        <f t="shared" si="6"/>
        <v>1</v>
      </c>
    </row>
    <row r="74" spans="1:8" x14ac:dyDescent="0.25">
      <c r="B74" s="104"/>
      <c r="C74" s="8" t="s">
        <v>147</v>
      </c>
      <c r="D74" s="88">
        <f t="shared" si="6"/>
        <v>1</v>
      </c>
      <c r="E74" s="88">
        <f t="shared" si="6"/>
        <v>1</v>
      </c>
      <c r="F74" s="88">
        <f t="shared" si="6"/>
        <v>1</v>
      </c>
      <c r="G74" s="88">
        <f t="shared" si="6"/>
        <v>1</v>
      </c>
      <c r="H74" s="88">
        <f t="shared" si="6"/>
        <v>1</v>
      </c>
    </row>
    <row r="75" spans="1:8" x14ac:dyDescent="0.25">
      <c r="B75" s="103" t="s">
        <v>67</v>
      </c>
      <c r="C75" s="8" t="s">
        <v>145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146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147</v>
      </c>
      <c r="D77" s="88">
        <f t="shared" si="6"/>
        <v>1</v>
      </c>
      <c r="E77" s="88">
        <f t="shared" si="6"/>
        <v>1</v>
      </c>
      <c r="F77" s="88">
        <f t="shared" si="6"/>
        <v>1</v>
      </c>
      <c r="G77" s="88">
        <f t="shared" si="6"/>
        <v>1</v>
      </c>
      <c r="H77" s="88">
        <f t="shared" si="6"/>
        <v>1</v>
      </c>
    </row>
    <row r="78" spans="1:8" x14ac:dyDescent="0.25">
      <c r="B78" s="103" t="s">
        <v>77</v>
      </c>
      <c r="C78" s="8" t="s">
        <v>145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146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147</v>
      </c>
      <c r="D80" s="88">
        <f t="shared" si="6"/>
        <v>1</v>
      </c>
      <c r="E80" s="88">
        <f t="shared" si="6"/>
        <v>1</v>
      </c>
      <c r="F80" s="88">
        <f t="shared" si="6"/>
        <v>1</v>
      </c>
      <c r="G80" s="88">
        <f t="shared" si="6"/>
        <v>1</v>
      </c>
      <c r="H80" s="88">
        <f t="shared" si="6"/>
        <v>1</v>
      </c>
    </row>
    <row r="81" spans="1:8" x14ac:dyDescent="0.25">
      <c r="B81" s="103" t="s">
        <v>78</v>
      </c>
      <c r="C81" s="8" t="s">
        <v>145</v>
      </c>
      <c r="D81" s="88">
        <f t="shared" si="6"/>
        <v>1</v>
      </c>
      <c r="E81" s="88">
        <f t="shared" si="6"/>
        <v>1</v>
      </c>
      <c r="F81" s="88">
        <f t="shared" si="6"/>
        <v>1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146</v>
      </c>
      <c r="D82" s="88">
        <f t="shared" ref="D82:H91" si="7">IF(D29=1,1,D29*0.9)</f>
        <v>1</v>
      </c>
      <c r="E82" s="88">
        <f t="shared" si="7"/>
        <v>1</v>
      </c>
      <c r="F82" s="88">
        <f t="shared" si="7"/>
        <v>1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147</v>
      </c>
      <c r="D83" s="88">
        <f t="shared" si="7"/>
        <v>1</v>
      </c>
      <c r="E83" s="88">
        <f t="shared" si="7"/>
        <v>1</v>
      </c>
      <c r="F83" s="88">
        <f t="shared" si="7"/>
        <v>1</v>
      </c>
      <c r="G83" s="88">
        <f t="shared" si="7"/>
        <v>1</v>
      </c>
      <c r="H83" s="88">
        <f t="shared" si="7"/>
        <v>1</v>
      </c>
    </row>
    <row r="84" spans="1:8" x14ac:dyDescent="0.25">
      <c r="B84" s="103" t="s">
        <v>79</v>
      </c>
      <c r="C84" s="8" t="s">
        <v>145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1</v>
      </c>
      <c r="H84" s="88">
        <f t="shared" si="7"/>
        <v>1</v>
      </c>
    </row>
    <row r="85" spans="1:8" x14ac:dyDescent="0.25">
      <c r="B85" s="104"/>
      <c r="C85" s="8" t="s">
        <v>146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1</v>
      </c>
      <c r="H85" s="88">
        <f t="shared" si="7"/>
        <v>1</v>
      </c>
    </row>
    <row r="86" spans="1:8" x14ac:dyDescent="0.25">
      <c r="B86" s="104"/>
      <c r="C86" s="8" t="s">
        <v>147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1</v>
      </c>
      <c r="H86" s="88">
        <f t="shared" si="7"/>
        <v>1</v>
      </c>
    </row>
    <row r="87" spans="1:8" ht="13" customHeight="1" x14ac:dyDescent="0.25">
      <c r="B87" s="65" t="s">
        <v>150</v>
      </c>
      <c r="C87" s="8" t="s">
        <v>147</v>
      </c>
      <c r="D87" s="88">
        <f t="shared" si="7"/>
        <v>1</v>
      </c>
      <c r="E87" s="88">
        <f t="shared" si="7"/>
        <v>1</v>
      </c>
      <c r="F87" s="88">
        <f t="shared" si="7"/>
        <v>1</v>
      </c>
      <c r="G87" s="88">
        <f t="shared" si="7"/>
        <v>1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90</v>
      </c>
      <c r="C89" s="8" t="s">
        <v>145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146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147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67</v>
      </c>
      <c r="C92" s="8" t="s">
        <v>145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146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147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77</v>
      </c>
      <c r="C95" s="8" t="s">
        <v>145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146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147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78</v>
      </c>
      <c r="C98" s="8" t="s">
        <v>145</v>
      </c>
      <c r="D98" s="88">
        <f t="shared" si="8"/>
        <v>1</v>
      </c>
      <c r="E98" s="88">
        <f t="shared" si="8"/>
        <v>1</v>
      </c>
      <c r="F98" s="88">
        <f t="shared" si="8"/>
        <v>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146</v>
      </c>
      <c r="D99" s="88">
        <f t="shared" ref="D99:H108" si="9">IF(D46=1,1,D46*0.9)</f>
        <v>1</v>
      </c>
      <c r="E99" s="88">
        <f t="shared" si="9"/>
        <v>1</v>
      </c>
      <c r="F99" s="88">
        <f t="shared" si="9"/>
        <v>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147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79</v>
      </c>
      <c r="C101" s="8" t="s">
        <v>145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</v>
      </c>
      <c r="H101" s="88">
        <f t="shared" si="9"/>
        <v>1</v>
      </c>
    </row>
    <row r="102" spans="1:8" x14ac:dyDescent="0.25">
      <c r="B102" s="104"/>
      <c r="C102" s="8" t="s">
        <v>146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</v>
      </c>
      <c r="H102" s="88">
        <f t="shared" si="9"/>
        <v>1</v>
      </c>
    </row>
    <row r="103" spans="1:8" x14ac:dyDescent="0.25">
      <c r="B103" s="104"/>
      <c r="C103" s="8" t="s">
        <v>147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150</v>
      </c>
      <c r="C104" s="8" t="s">
        <v>147</v>
      </c>
      <c r="D104" s="88">
        <f t="shared" si="9"/>
        <v>1</v>
      </c>
      <c r="E104" s="88">
        <f t="shared" si="9"/>
        <v>1</v>
      </c>
      <c r="F104" s="88">
        <f t="shared" si="9"/>
        <v>1</v>
      </c>
      <c r="G104" s="88">
        <f t="shared" si="9"/>
        <v>1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ht="13" customHeight="1" x14ac:dyDescent="0.3">
      <c r="A108" s="4" t="s">
        <v>240</v>
      </c>
      <c r="B108" s="103" t="s">
        <v>90</v>
      </c>
      <c r="C108" s="8" t="s">
        <v>145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146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147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67</v>
      </c>
      <c r="C111" s="8" t="s">
        <v>145</v>
      </c>
      <c r="D111" s="88">
        <f>IFERROR((MIN(1,1.77*'Breastfeeding distribution'!$C$2)/(1-MIN(1,1.77*'Breastfeeding distribution'!$C$2))) /
('Breastfeeding distribution'!$C$2/(1-'Breastfeeding distribution'!$C$2)), 1.77)</f>
        <v>1.77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146</v>
      </c>
      <c r="D112" s="88">
        <f>IFERROR((MIN(1,1.77*'Breastfeeding distribution'!$C$2)/(1-MIN(1,1.77*'Breastfeeding distribution'!$C$2))) /
('Breastfeeding distribution'!$C$2/(1-'Breastfeeding distribution'!$C$2)), 1.77)</f>
        <v>1.77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147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77</v>
      </c>
      <c r="C114" s="8" t="s">
        <v>145</v>
      </c>
      <c r="D114" s="88">
        <f t="shared" si="12"/>
        <v>1</v>
      </c>
      <c r="E114" s="88">
        <f>IFERROR((MIN(1,1.77*'Breastfeeding distribution'!$D$2)/(1-MIN(1,1.77*'Breastfeeding distribution'!$D$2))) /
('Breastfeeding distribution'!$D$2/(1-'Breastfeeding distribution'!$D$2)), 1.77)</f>
        <v>4.2871293829385273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146</v>
      </c>
      <c r="D115" s="88">
        <f t="shared" si="12"/>
        <v>1</v>
      </c>
      <c r="E115" s="88">
        <f>IFERROR((MIN(1,1.77*'Breastfeeding distribution'!$D$2)/(1-MIN(1,1.77*'Breastfeeding distribution'!$D$2))) /
('Breastfeeding distribution'!$D$2/(1-'Breastfeeding distribution'!$D$2)), 1.77)</f>
        <v>4.2871293829385273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147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78</v>
      </c>
      <c r="C117" s="8" t="s">
        <v>145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146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147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79</v>
      </c>
      <c r="C120" s="8" t="s">
        <v>145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146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147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150</v>
      </c>
      <c r="C123" s="8" t="s">
        <v>147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90</v>
      </c>
      <c r="C125" s="8" t="s">
        <v>145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</v>
      </c>
      <c r="G125" s="88">
        <f t="shared" si="16"/>
        <v>1</v>
      </c>
      <c r="H125" s="88">
        <f t="shared" si="16"/>
        <v>1</v>
      </c>
    </row>
    <row r="126" spans="1:8" x14ac:dyDescent="0.25">
      <c r="B126" s="104"/>
      <c r="C126" s="8" t="s">
        <v>146</v>
      </c>
      <c r="D126" s="88">
        <f t="shared" si="16"/>
        <v>1</v>
      </c>
      <c r="E126" s="88">
        <f t="shared" si="16"/>
        <v>1</v>
      </c>
      <c r="F126" s="88">
        <f t="shared" si="16"/>
        <v>1</v>
      </c>
      <c r="G126" s="88">
        <f t="shared" si="16"/>
        <v>1</v>
      </c>
      <c r="H126" s="88">
        <f t="shared" si="16"/>
        <v>1</v>
      </c>
    </row>
    <row r="127" spans="1:8" x14ac:dyDescent="0.25">
      <c r="B127" s="104"/>
      <c r="C127" s="8" t="s">
        <v>147</v>
      </c>
      <c r="D127" s="88">
        <f t="shared" si="16"/>
        <v>1</v>
      </c>
      <c r="E127" s="88">
        <f t="shared" si="16"/>
        <v>1</v>
      </c>
      <c r="F127" s="88">
        <f t="shared" si="16"/>
        <v>1</v>
      </c>
      <c r="G127" s="88">
        <f t="shared" si="16"/>
        <v>1</v>
      </c>
      <c r="H127" s="88">
        <f t="shared" si="16"/>
        <v>1</v>
      </c>
    </row>
    <row r="128" spans="1:8" x14ac:dyDescent="0.25">
      <c r="B128" s="103" t="s">
        <v>67</v>
      </c>
      <c r="C128" s="8" t="s">
        <v>145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146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147</v>
      </c>
      <c r="D130" s="88">
        <f t="shared" si="16"/>
        <v>1</v>
      </c>
      <c r="E130" s="88">
        <f t="shared" si="16"/>
        <v>1</v>
      </c>
      <c r="F130" s="88">
        <f t="shared" si="16"/>
        <v>1</v>
      </c>
      <c r="G130" s="88">
        <f t="shared" si="16"/>
        <v>1</v>
      </c>
      <c r="H130" s="88">
        <f t="shared" si="16"/>
        <v>1</v>
      </c>
    </row>
    <row r="131" spans="1:8" x14ac:dyDescent="0.25">
      <c r="B131" s="103" t="s">
        <v>77</v>
      </c>
      <c r="C131" s="8" t="s">
        <v>145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146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147</v>
      </c>
      <c r="D133" s="88">
        <f t="shared" si="16"/>
        <v>1</v>
      </c>
      <c r="E133" s="88">
        <f t="shared" si="16"/>
        <v>1</v>
      </c>
      <c r="F133" s="88">
        <f t="shared" si="16"/>
        <v>1</v>
      </c>
      <c r="G133" s="88">
        <f t="shared" si="16"/>
        <v>1</v>
      </c>
      <c r="H133" s="88">
        <f t="shared" si="16"/>
        <v>1</v>
      </c>
    </row>
    <row r="134" spans="1:8" x14ac:dyDescent="0.25">
      <c r="B134" s="103" t="s">
        <v>78</v>
      </c>
      <c r="C134" s="8" t="s">
        <v>145</v>
      </c>
      <c r="D134" s="88">
        <f t="shared" si="16"/>
        <v>1</v>
      </c>
      <c r="E134" s="88">
        <f t="shared" si="16"/>
        <v>1</v>
      </c>
      <c r="F134" s="88">
        <f t="shared" si="16"/>
        <v>1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146</v>
      </c>
      <c r="D135" s="88">
        <f t="shared" ref="D135:H144" si="17">IF(D29=1,1,D29*1.05)</f>
        <v>1</v>
      </c>
      <c r="E135" s="88">
        <f t="shared" si="17"/>
        <v>1</v>
      </c>
      <c r="F135" s="88">
        <f t="shared" si="17"/>
        <v>1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147</v>
      </c>
      <c r="D136" s="88">
        <f t="shared" si="17"/>
        <v>1</v>
      </c>
      <c r="E136" s="88">
        <f t="shared" si="17"/>
        <v>1</v>
      </c>
      <c r="F136" s="88">
        <f t="shared" si="17"/>
        <v>1</v>
      </c>
      <c r="G136" s="88">
        <f t="shared" si="17"/>
        <v>1</v>
      </c>
      <c r="H136" s="88">
        <f t="shared" si="17"/>
        <v>1</v>
      </c>
    </row>
    <row r="137" spans="1:8" x14ac:dyDescent="0.25">
      <c r="B137" s="103" t="s">
        <v>79</v>
      </c>
      <c r="C137" s="8" t="s">
        <v>145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1</v>
      </c>
      <c r="H137" s="88">
        <f t="shared" si="17"/>
        <v>1</v>
      </c>
    </row>
    <row r="138" spans="1:8" x14ac:dyDescent="0.25">
      <c r="B138" s="104"/>
      <c r="C138" s="8" t="s">
        <v>146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1</v>
      </c>
      <c r="H138" s="88">
        <f t="shared" si="17"/>
        <v>1</v>
      </c>
    </row>
    <row r="139" spans="1:8" x14ac:dyDescent="0.25">
      <c r="B139" s="104"/>
      <c r="C139" s="8" t="s">
        <v>147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</v>
      </c>
      <c r="H139" s="88">
        <f t="shared" si="17"/>
        <v>1</v>
      </c>
    </row>
    <row r="140" spans="1:8" ht="13" customHeight="1" x14ac:dyDescent="0.25">
      <c r="B140" s="65" t="s">
        <v>150</v>
      </c>
      <c r="C140" s="8" t="s">
        <v>147</v>
      </c>
      <c r="D140" s="88">
        <f t="shared" si="17"/>
        <v>1</v>
      </c>
      <c r="E140" s="88">
        <f t="shared" si="17"/>
        <v>1</v>
      </c>
      <c r="F140" s="88">
        <f t="shared" si="17"/>
        <v>1</v>
      </c>
      <c r="G140" s="88">
        <f t="shared" si="17"/>
        <v>1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90</v>
      </c>
      <c r="C142" s="8" t="s">
        <v>145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146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147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67</v>
      </c>
      <c r="C145" s="8" t="s">
        <v>145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146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147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77</v>
      </c>
      <c r="C148" s="8" t="s">
        <v>145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146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147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78</v>
      </c>
      <c r="C151" s="8" t="s">
        <v>145</v>
      </c>
      <c r="D151" s="88">
        <f t="shared" si="18"/>
        <v>1</v>
      </c>
      <c r="E151" s="88">
        <f t="shared" si="18"/>
        <v>1</v>
      </c>
      <c r="F151" s="88">
        <f t="shared" si="18"/>
        <v>1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146</v>
      </c>
      <c r="D152" s="88">
        <f t="shared" ref="D152:H161" si="19">IF(D46=1,1,D46*1.05)</f>
        <v>1</v>
      </c>
      <c r="E152" s="88">
        <f t="shared" si="19"/>
        <v>1</v>
      </c>
      <c r="F152" s="88">
        <f t="shared" si="19"/>
        <v>1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147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79</v>
      </c>
      <c r="C154" s="8" t="s">
        <v>145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</v>
      </c>
      <c r="H154" s="88">
        <f t="shared" si="19"/>
        <v>1</v>
      </c>
    </row>
    <row r="155" spans="2:8" x14ac:dyDescent="0.25">
      <c r="B155" s="104"/>
      <c r="C155" s="8" t="s">
        <v>146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</v>
      </c>
      <c r="H155" s="88">
        <f t="shared" si="19"/>
        <v>1</v>
      </c>
    </row>
    <row r="156" spans="2:8" x14ac:dyDescent="0.25">
      <c r="B156" s="104"/>
      <c r="C156" s="8" t="s">
        <v>147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150</v>
      </c>
      <c r="C157" s="8" t="s">
        <v>147</v>
      </c>
      <c r="D157" s="88">
        <f t="shared" si="19"/>
        <v>1</v>
      </c>
      <c r="E157" s="88">
        <f t="shared" si="19"/>
        <v>1</v>
      </c>
      <c r="F157" s="88">
        <f t="shared" si="19"/>
        <v>1</v>
      </c>
      <c r="G157" s="88">
        <f t="shared" si="19"/>
        <v>1</v>
      </c>
      <c r="H157" s="88">
        <f t="shared" si="19"/>
        <v>1</v>
      </c>
    </row>
  </sheetData>
  <sheetProtection algorithmName="SHA-512" hashValue="1IUQIPGO8A+lS5t9zmQeExgWOE7Hq9s+LMwGp5ZzK7cP6BPM6Y+s1H4DuDLssE5RfO3cDfuZkDwFgb68EXGf1A==" saltValue="EhqwdEStb6jxlKMHBUWr7g==" spinCount="100000" sheet="1" selectLockedCell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zoomScale="85" zoomScaleNormal="85" workbookViewId="0">
      <selection activeCell="E28" sqref="E28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43</v>
      </c>
      <c r="D2" s="70" t="s">
        <v>42</v>
      </c>
      <c r="E2" s="70" t="s">
        <v>41</v>
      </c>
      <c r="F2" s="70" t="s">
        <v>40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246</v>
      </c>
      <c r="C11" s="74"/>
      <c r="D11" s="75"/>
      <c r="E11" s="75"/>
      <c r="F11" s="75"/>
    </row>
    <row r="12" spans="1:6" ht="15.75" customHeight="1" x14ac:dyDescent="0.3">
      <c r="A12" s="4" t="s">
        <v>247</v>
      </c>
      <c r="C12" s="73"/>
      <c r="D12" s="64"/>
      <c r="E12" s="64"/>
      <c r="F12" s="64"/>
    </row>
    <row r="13" spans="1:6" ht="15.75" customHeight="1" x14ac:dyDescent="0.25">
      <c r="B13" s="1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249</v>
      </c>
      <c r="B17" s="14"/>
      <c r="C17" s="77"/>
      <c r="D17" s="78"/>
      <c r="E17" s="78"/>
      <c r="F17" s="78"/>
    </row>
    <row r="18" spans="1:6" ht="15.75" customHeight="1" x14ac:dyDescent="0.25">
      <c r="B18" s="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69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70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71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43</v>
      </c>
      <c r="D29" s="70" t="s">
        <v>42</v>
      </c>
      <c r="E29" s="70" t="s">
        <v>41</v>
      </c>
      <c r="F29" s="70" t="s">
        <v>40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26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27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28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29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251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246</v>
      </c>
      <c r="B38" s="68"/>
      <c r="C38" s="74"/>
      <c r="D38" s="75"/>
      <c r="E38" s="75"/>
      <c r="F38" s="75"/>
    </row>
    <row r="39" spans="1:6" ht="15.75" customHeight="1" x14ac:dyDescent="0.3">
      <c r="A39" s="4" t="s">
        <v>252</v>
      </c>
      <c r="C39" s="73"/>
      <c r="D39" s="64"/>
      <c r="E39" s="64"/>
      <c r="F39" s="64"/>
    </row>
    <row r="40" spans="1:6" ht="15.75" customHeight="1" x14ac:dyDescent="0.25">
      <c r="B40" s="11" t="s">
        <v>253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254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255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256</v>
      </c>
      <c r="B44" s="14"/>
      <c r="C44" s="77"/>
      <c r="D44" s="78"/>
      <c r="E44" s="78"/>
      <c r="F44" s="78"/>
    </row>
    <row r="45" spans="1:6" ht="15.75" customHeight="1" x14ac:dyDescent="0.25">
      <c r="B45" s="5" t="s">
        <v>68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69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70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71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72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73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74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75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43</v>
      </c>
      <c r="D56" s="70" t="s">
        <v>42</v>
      </c>
      <c r="E56" s="70" t="s">
        <v>41</v>
      </c>
      <c r="F56" s="70" t="s">
        <v>40</v>
      </c>
    </row>
    <row r="57" spans="1:6" ht="15.75" customHeight="1" x14ac:dyDescent="0.3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26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27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28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29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258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246</v>
      </c>
      <c r="B65" s="68"/>
      <c r="C65" s="74"/>
      <c r="D65" s="75"/>
      <c r="E65" s="75"/>
      <c r="F65" s="75"/>
    </row>
    <row r="66" spans="1:6" ht="15.75" customHeight="1" x14ac:dyDescent="0.3">
      <c r="A66" s="4" t="s">
        <v>259</v>
      </c>
      <c r="C66" s="73"/>
      <c r="D66" s="64"/>
      <c r="E66" s="64"/>
      <c r="F66" s="64"/>
    </row>
    <row r="67" spans="1:6" ht="15.75" customHeight="1" x14ac:dyDescent="0.25">
      <c r="B67" s="11" t="s">
        <v>260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261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262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263</v>
      </c>
      <c r="B71" s="14"/>
      <c r="C71" s="77"/>
      <c r="D71" s="78"/>
      <c r="E71" s="78"/>
      <c r="F71" s="78"/>
    </row>
    <row r="72" spans="1:6" ht="15.75" customHeight="1" x14ac:dyDescent="0.25">
      <c r="B72" s="5" t="s">
        <v>68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69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70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71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72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73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74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75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OEa5xq8Dht0iRzVx1fQ1EOJdDm09uSIzQRujIfp/VJ8GNGNECqE8Uut2U6j1omy5Y9ajcKxMUHwzsTWrCb+nAw==" saltValue="Poj67khbkyqhF7WVYd6Cs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54" zoomScaleNormal="100" workbookViewId="0">
      <selection activeCell="E28" sqref="E28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225</v>
      </c>
      <c r="B2" s="1" t="s">
        <v>265</v>
      </c>
      <c r="C2" s="1" t="s">
        <v>266</v>
      </c>
      <c r="D2" s="70" t="s">
        <v>67</v>
      </c>
      <c r="E2" s="70" t="s">
        <v>77</v>
      </c>
      <c r="F2" s="70" t="s">
        <v>78</v>
      </c>
      <c r="G2" s="70" t="s">
        <v>79</v>
      </c>
      <c r="H2" s="70" t="s">
        <v>80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81</v>
      </c>
      <c r="C3" s="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271</v>
      </c>
    </row>
    <row r="29" spans="1:16" ht="13" customHeight="1" x14ac:dyDescent="0.3">
      <c r="A29" s="39" t="s">
        <v>272</v>
      </c>
      <c r="B29" s="4" t="s">
        <v>265</v>
      </c>
      <c r="C29" s="4" t="s">
        <v>273</v>
      </c>
      <c r="D29" s="70" t="s">
        <v>67</v>
      </c>
      <c r="E29" s="70" t="s">
        <v>77</v>
      </c>
      <c r="F29" s="70" t="s">
        <v>78</v>
      </c>
      <c r="G29" s="70" t="s">
        <v>79</v>
      </c>
      <c r="H29" s="70" t="s">
        <v>80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81</v>
      </c>
      <c r="C30" s="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205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205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205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205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205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205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274</v>
      </c>
    </row>
    <row r="56" spans="1:16" ht="26" customHeight="1" x14ac:dyDescent="0.3">
      <c r="A56" s="39" t="s">
        <v>111</v>
      </c>
      <c r="B56" s="4" t="s">
        <v>265</v>
      </c>
      <c r="C56" s="69" t="s">
        <v>275</v>
      </c>
      <c r="D56" s="70" t="s">
        <v>112</v>
      </c>
      <c r="E56" s="70" t="s">
        <v>113</v>
      </c>
      <c r="F56" s="70" t="s">
        <v>114</v>
      </c>
      <c r="G56" s="70" t="s">
        <v>115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91</v>
      </c>
      <c r="C57" s="3" t="s">
        <v>276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277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276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277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276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277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278</v>
      </c>
    </row>
    <row r="65" spans="1:16" ht="26" customHeight="1" x14ac:dyDescent="0.3">
      <c r="A65" s="39" t="s">
        <v>118</v>
      </c>
      <c r="B65" s="4" t="s">
        <v>265</v>
      </c>
      <c r="C65" s="69" t="s">
        <v>279</v>
      </c>
      <c r="D65" s="70" t="s">
        <v>67</v>
      </c>
      <c r="E65" s="70" t="s">
        <v>77</v>
      </c>
      <c r="F65" s="70" t="s">
        <v>78</v>
      </c>
      <c r="G65" s="70" t="s">
        <v>79</v>
      </c>
      <c r="H65" s="81" t="s">
        <v>80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68</v>
      </c>
      <c r="C66" s="3" t="s">
        <v>119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280</v>
      </c>
    </row>
    <row r="104" spans="1:16" ht="26" customHeight="1" x14ac:dyDescent="0.3">
      <c r="A104" s="39" t="s">
        <v>81</v>
      </c>
      <c r="B104" s="82" t="s">
        <v>122</v>
      </c>
      <c r="C104" s="69" t="s">
        <v>279</v>
      </c>
      <c r="D104" s="70" t="s">
        <v>67</v>
      </c>
      <c r="E104" s="70" t="s">
        <v>77</v>
      </c>
      <c r="F104" s="70" t="s">
        <v>78</v>
      </c>
      <c r="G104" s="70" t="s">
        <v>79</v>
      </c>
      <c r="H104" s="81" t="s">
        <v>80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119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225</v>
      </c>
      <c r="B112" s="1" t="s">
        <v>265</v>
      </c>
      <c r="C112" s="1" t="s">
        <v>266</v>
      </c>
      <c r="D112" s="70" t="s">
        <v>67</v>
      </c>
      <c r="E112" s="70" t="s">
        <v>77</v>
      </c>
      <c r="F112" s="70" t="s">
        <v>78</v>
      </c>
      <c r="G112" s="70" t="s">
        <v>79</v>
      </c>
      <c r="H112" s="70" t="s">
        <v>80</v>
      </c>
    </row>
    <row r="113" spans="1:8" ht="13" customHeight="1" x14ac:dyDescent="0.3">
      <c r="A113" s="4"/>
      <c r="B113" s="8" t="s">
        <v>81</v>
      </c>
      <c r="C113" s="3" t="s">
        <v>267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268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269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270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82</v>
      </c>
      <c r="C117" s="3" t="s">
        <v>267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268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269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270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84</v>
      </c>
      <c r="C121" s="3" t="s">
        <v>267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268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269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270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85</v>
      </c>
      <c r="C125" s="3" t="s">
        <v>267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268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269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270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83</v>
      </c>
      <c r="C129" s="3" t="s">
        <v>267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268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269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270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89</v>
      </c>
      <c r="C133" s="3" t="s">
        <v>267</v>
      </c>
      <c r="D133" s="91">
        <f t="shared" ref="D133:H142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268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269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270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271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272</v>
      </c>
      <c r="B139" s="4" t="s">
        <v>265</v>
      </c>
      <c r="C139" s="4" t="s">
        <v>273</v>
      </c>
      <c r="D139" s="70" t="s">
        <v>67</v>
      </c>
      <c r="E139" s="70" t="s">
        <v>77</v>
      </c>
      <c r="F139" s="70" t="s">
        <v>78</v>
      </c>
      <c r="G139" s="70" t="s">
        <v>79</v>
      </c>
      <c r="H139" s="70" t="s">
        <v>80</v>
      </c>
    </row>
    <row r="140" spans="1:8" ht="13" customHeight="1" x14ac:dyDescent="0.3">
      <c r="A140" s="4"/>
      <c r="B140" s="8" t="s">
        <v>81</v>
      </c>
      <c r="C140" s="3" t="s">
        <v>267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268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204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205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82</v>
      </c>
      <c r="C144" s="3" t="s">
        <v>267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268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204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205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84</v>
      </c>
      <c r="C148" s="3" t="s">
        <v>267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268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204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205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85</v>
      </c>
      <c r="C152" s="3" t="s">
        <v>267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268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204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205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83</v>
      </c>
      <c r="C156" s="3" t="s">
        <v>267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268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204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205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89</v>
      </c>
      <c r="C160" s="3" t="s">
        <v>267</v>
      </c>
      <c r="D160" s="91">
        <f t="shared" ref="D160:H169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268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204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205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274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111</v>
      </c>
      <c r="B166" s="4" t="s">
        <v>265</v>
      </c>
      <c r="C166" s="69" t="s">
        <v>275</v>
      </c>
      <c r="D166" s="70" t="s">
        <v>112</v>
      </c>
      <c r="E166" s="70" t="s">
        <v>113</v>
      </c>
      <c r="F166" s="70" t="s">
        <v>114</v>
      </c>
      <c r="G166" s="70" t="s">
        <v>115</v>
      </c>
      <c r="H166" s="79"/>
    </row>
    <row r="167" spans="1:8" ht="13" customHeight="1" x14ac:dyDescent="0.3">
      <c r="A167" s="4"/>
      <c r="B167" s="8" t="s">
        <v>91</v>
      </c>
      <c r="C167" s="3" t="s">
        <v>276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277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92</v>
      </c>
      <c r="C169" s="3" t="s">
        <v>276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277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93</v>
      </c>
      <c r="C171" s="3" t="s">
        <v>276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277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278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118</v>
      </c>
      <c r="B175" s="4" t="s">
        <v>265</v>
      </c>
      <c r="C175" s="69" t="s">
        <v>279</v>
      </c>
      <c r="D175" s="70" t="s">
        <v>67</v>
      </c>
      <c r="E175" s="70" t="s">
        <v>77</v>
      </c>
      <c r="F175" s="70" t="s">
        <v>78</v>
      </c>
      <c r="G175" s="70" t="s">
        <v>79</v>
      </c>
      <c r="H175" s="81" t="s">
        <v>80</v>
      </c>
    </row>
    <row r="176" spans="1:8" ht="13" customHeight="1" x14ac:dyDescent="0.3">
      <c r="A176" s="82"/>
      <c r="B176" s="8" t="s">
        <v>68</v>
      </c>
      <c r="C176" s="3" t="s">
        <v>119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120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121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122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69</v>
      </c>
      <c r="C180" s="3" t="s">
        <v>119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120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121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122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70</v>
      </c>
      <c r="C184" s="3" t="s">
        <v>119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120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121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122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72</v>
      </c>
      <c r="C188" s="3" t="s">
        <v>119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120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121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122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81</v>
      </c>
      <c r="C192" s="3" t="s">
        <v>119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120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121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122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1">
        <f t="shared" ref="D196:G215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120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121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122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84</v>
      </c>
      <c r="C200" s="3" t="s">
        <v>119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120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121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122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83</v>
      </c>
      <c r="C204" s="3" t="s">
        <v>119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120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121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122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86</v>
      </c>
      <c r="C208" s="3" t="s">
        <v>119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120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121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122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81</v>
      </c>
      <c r="B214" s="82" t="s">
        <v>122</v>
      </c>
      <c r="C214" s="69" t="s">
        <v>279</v>
      </c>
      <c r="D214" s="70" t="s">
        <v>67</v>
      </c>
      <c r="E214" s="70" t="s">
        <v>77</v>
      </c>
      <c r="F214" s="70" t="s">
        <v>78</v>
      </c>
      <c r="G214" s="70" t="s">
        <v>79</v>
      </c>
      <c r="H214" s="81" t="s">
        <v>80</v>
      </c>
    </row>
    <row r="215" spans="1:9" ht="13" customHeight="1" x14ac:dyDescent="0.3">
      <c r="A215" s="4"/>
      <c r="C215" s="3" t="s">
        <v>119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120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121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122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225</v>
      </c>
      <c r="B222" s="1" t="s">
        <v>265</v>
      </c>
      <c r="C222" s="1" t="s">
        <v>266</v>
      </c>
      <c r="D222" s="70" t="s">
        <v>67</v>
      </c>
      <c r="E222" s="70" t="s">
        <v>77</v>
      </c>
      <c r="F222" s="70" t="s">
        <v>78</v>
      </c>
      <c r="G222" s="70" t="s">
        <v>79</v>
      </c>
      <c r="H222" s="70" t="s">
        <v>80</v>
      </c>
      <c r="I222" s="79"/>
    </row>
    <row r="223" spans="1:9" ht="13" customHeight="1" x14ac:dyDescent="0.3">
      <c r="A223" s="4"/>
      <c r="B223" s="8" t="s">
        <v>81</v>
      </c>
      <c r="C223" s="3" t="s">
        <v>267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268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269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270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82</v>
      </c>
      <c r="C227" s="3" t="s">
        <v>267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268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269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270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84</v>
      </c>
      <c r="C231" s="3" t="s">
        <v>267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268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269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270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85</v>
      </c>
      <c r="C235" s="3" t="s">
        <v>267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268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269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270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83</v>
      </c>
      <c r="C239" s="3" t="s">
        <v>267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268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269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270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89</v>
      </c>
      <c r="C243" s="3" t="s">
        <v>267</v>
      </c>
      <c r="D243" s="91">
        <f t="shared" ref="D243:H252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268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269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270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271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272</v>
      </c>
      <c r="B249" s="4" t="s">
        <v>265</v>
      </c>
      <c r="C249" s="4" t="s">
        <v>273</v>
      </c>
      <c r="D249" s="70" t="s">
        <v>67</v>
      </c>
      <c r="E249" s="70" t="s">
        <v>77</v>
      </c>
      <c r="F249" s="70" t="s">
        <v>78</v>
      </c>
      <c r="G249" s="70" t="s">
        <v>79</v>
      </c>
      <c r="H249" s="70" t="s">
        <v>80</v>
      </c>
      <c r="I249" s="79"/>
    </row>
    <row r="250" spans="1:9" ht="13" customHeight="1" x14ac:dyDescent="0.3">
      <c r="A250" s="4"/>
      <c r="B250" s="8" t="s">
        <v>81</v>
      </c>
      <c r="C250" s="3" t="s">
        <v>267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268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204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205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82</v>
      </c>
      <c r="C254" s="3" t="s">
        <v>267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268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204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205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84</v>
      </c>
      <c r="C258" s="3" t="s">
        <v>267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268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204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205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85</v>
      </c>
      <c r="C262" s="3" t="s">
        <v>267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268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204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205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83</v>
      </c>
      <c r="C266" s="3" t="s">
        <v>267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268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204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205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89</v>
      </c>
      <c r="C270" s="3" t="s">
        <v>267</v>
      </c>
      <c r="D270" s="91">
        <f t="shared" ref="D270:H279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268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204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205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274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111</v>
      </c>
      <c r="B276" s="4" t="s">
        <v>265</v>
      </c>
      <c r="C276" s="69" t="s">
        <v>275</v>
      </c>
      <c r="D276" s="70" t="s">
        <v>112</v>
      </c>
      <c r="E276" s="70" t="s">
        <v>113</v>
      </c>
      <c r="F276" s="70" t="s">
        <v>114</v>
      </c>
      <c r="G276" s="70" t="s">
        <v>115</v>
      </c>
      <c r="H276" s="79"/>
    </row>
    <row r="277" spans="1:9" ht="13" customHeight="1" x14ac:dyDescent="0.3">
      <c r="A277" s="4"/>
      <c r="B277" s="8" t="s">
        <v>91</v>
      </c>
      <c r="C277" s="3" t="s">
        <v>276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277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92</v>
      </c>
      <c r="C279" s="3" t="s">
        <v>276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277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93</v>
      </c>
      <c r="C281" s="3" t="s">
        <v>276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277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278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118</v>
      </c>
      <c r="B285" s="4" t="s">
        <v>265</v>
      </c>
      <c r="C285" s="69" t="s">
        <v>279</v>
      </c>
      <c r="D285" s="70" t="s">
        <v>67</v>
      </c>
      <c r="E285" s="70" t="s">
        <v>77</v>
      </c>
      <c r="F285" s="70" t="s">
        <v>78</v>
      </c>
      <c r="G285" s="70" t="s">
        <v>79</v>
      </c>
      <c r="H285" s="81" t="s">
        <v>80</v>
      </c>
      <c r="I285" s="79"/>
    </row>
    <row r="286" spans="1:9" ht="13" customHeight="1" x14ac:dyDescent="0.3">
      <c r="A286" s="82"/>
      <c r="B286" s="8" t="s">
        <v>68</v>
      </c>
      <c r="C286" s="3" t="s">
        <v>119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120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121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122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120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121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122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120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121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122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120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121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122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120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121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122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1">
        <f t="shared" ref="D306:G325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120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121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122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120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121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122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120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121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122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120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121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122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81</v>
      </c>
      <c r="B324" s="82" t="s">
        <v>122</v>
      </c>
      <c r="C324" s="69" t="s">
        <v>279</v>
      </c>
      <c r="D324" s="70" t="s">
        <v>67</v>
      </c>
      <c r="E324" s="70" t="s">
        <v>77</v>
      </c>
      <c r="F324" s="70" t="s">
        <v>78</v>
      </c>
      <c r="G324" s="70" t="s">
        <v>79</v>
      </c>
      <c r="H324" s="81" t="s">
        <v>80</v>
      </c>
      <c r="I324" s="79"/>
    </row>
    <row r="325" spans="1:9" ht="13" customHeight="1" x14ac:dyDescent="0.3">
      <c r="A325" s="4"/>
      <c r="C325" s="3" t="s">
        <v>119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120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121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122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rzjjr+eUY+zLxtgvRuigrXBCYk8ZjZeKkvy/Wu7lqFGhk7GKsrVngS9i2Jt2gxX9Fn0pC2b9tyB7+BxRGGivEA==" saltValue="vsQDJsypwJz22iUc18xJ6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zoomScale="70" zoomScaleNormal="70" workbookViewId="0">
      <selection activeCell="E28" sqref="E28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281</v>
      </c>
    </row>
    <row r="2" spans="1:7" ht="14.25" customHeight="1" x14ac:dyDescent="0.3">
      <c r="A2" s="82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282</v>
      </c>
      <c r="C3" s="90" t="s">
        <v>283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284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285</v>
      </c>
    </row>
    <row r="6" spans="1:7" ht="14.25" customHeight="1" x14ac:dyDescent="0.25">
      <c r="B6" s="5" t="s">
        <v>191</v>
      </c>
      <c r="C6" s="90">
        <v>1</v>
      </c>
      <c r="D6" s="90">
        <v>1</v>
      </c>
      <c r="E6" s="90">
        <f>IF(ISBLANK('Nutritional status distribution'!$E$4),0.64, (0.64*SUM('Nutritional status distribution'!$E$4:$E$5)/(1-0.64*SUM('Nutritional status distribution'!$E$4:$E$5)))
/ (SUM('Nutritional status distribution'!$E$4:$E$5)/(1-SUM('Nutritional status distribution'!$E$4:$E$5))))</f>
        <v>0.58640400123549707</v>
      </c>
      <c r="F6" s="90">
        <f>IF(ISBLANK('Nutritional status distribution'!$F$4),0.64, (0.64*SUM('Nutritional status distribution'!$F$4:$F$5)/(1-0.64*SUM('Nutritional status distribution'!$F$4:$F$5)))/ (SUM('Nutritional status distribution'!$F$4:$F$5)/(1-SUM('Nutritional status distribution'!$F$4:$F$5))))</f>
        <v>0.52900423068321278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0.85398263972330546</v>
      </c>
      <c r="F7" s="90">
        <f>IF(ISBLANK('Nutritional status distribution'!$F$4),0.88, (0.88*SUM('Nutritional status distribution'!$F$4:$F$5)/(1-0.88*SUM('Nutritional status distribution'!$F$4:$F$5)))/ (SUM('Nutritional status distribution'!$F$4:$F$5)/(1-SUM('Nutritional status distribution'!$F$4:$F$5))))</f>
        <v>0.82247597746352186</v>
      </c>
      <c r="G7" s="90">
        <v>1</v>
      </c>
    </row>
    <row r="8" spans="1:7" ht="14.25" customHeight="1" x14ac:dyDescent="0.25">
      <c r="B8" s="5" t="s">
        <v>192</v>
      </c>
      <c r="C8" s="90">
        <v>1</v>
      </c>
      <c r="D8" s="90">
        <v>1</v>
      </c>
      <c r="E8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0.85398263972330546</v>
      </c>
      <c r="F8" s="90">
        <f>IF(ISBLANK('Nutritional status distribution'!$F$4),0.88, (0.88*SUM('Nutritional status distribution'!$F$4:$F$5)/(1-0.88*SUM('Nutritional status distribution'!$F$4:$F$5)))/ (SUM('Nutritional status distribution'!$F$4:$F$5)/(1-SUM('Nutritional status distribution'!$F$4:$F$5))))</f>
        <v>0.82247597746352186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287</v>
      </c>
    </row>
    <row r="15" spans="1:7" ht="14.25" customHeight="1" x14ac:dyDescent="0.3">
      <c r="A15" s="82" t="s">
        <v>272</v>
      </c>
      <c r="B15" s="5" t="s">
        <v>288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289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111</v>
      </c>
      <c r="B17" s="11" t="s">
        <v>290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291</v>
      </c>
    </row>
    <row r="20" spans="1:7" s="14" customFormat="1" ht="14.25" customHeight="1" x14ac:dyDescent="0.3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281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292</v>
      </c>
      <c r="C26" s="90" t="s">
        <v>283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293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294</v>
      </c>
    </row>
    <row r="29" spans="1:7" x14ac:dyDescent="0.25">
      <c r="B29" s="5" t="s">
        <v>295</v>
      </c>
      <c r="C29" s="90">
        <f t="shared" ref="C29:D32" si="0">IF(C6=1,1,C6*0.9)</f>
        <v>1</v>
      </c>
      <c r="D29" s="90">
        <f t="shared" si="0"/>
        <v>1</v>
      </c>
      <c r="E29" s="90">
        <f>IF(ISBLANK('Nutritional status distribution'!E$4),0.44, (0.44*SUM('Nutritional status distribution'!E$4:E$5)/(1-0.44*SUM('Nutritional status distribution'!E$4:E$5)))/ (SUM('Nutritional status distribution'!E$4:E$5)/(1-SUM('Nutritional status distribution'!E$4:E$5))))</f>
        <v>0.385230184451893</v>
      </c>
      <c r="F29" s="90">
        <f>IF(ISBLANK('Nutritional status distribution'!F$4),0.44, (0.44*SUM('Nutritional status distribution'!F$4:F$5)/(1-0.44*SUM('Nutritional status distribution'!F$4:F$5)))/ (SUM('Nutritional status distribution'!F$4:F$5)/(1-SUM('Nutritional status distribution'!F$4:F$5))))</f>
        <v>0.33172822972142291</v>
      </c>
      <c r="G29" s="90">
        <f>IF(G6=1,1,G6*0.9)</f>
        <v>1</v>
      </c>
    </row>
    <row r="30" spans="1:7" x14ac:dyDescent="0.25">
      <c r="B30" s="5" t="s">
        <v>296</v>
      </c>
      <c r="C30" s="90">
        <f t="shared" si="0"/>
        <v>1</v>
      </c>
      <c r="D30" s="90">
        <f t="shared" si="0"/>
        <v>1</v>
      </c>
      <c r="E30" s="90">
        <f>IF(ISBLANK('Nutritional status distribution'!E$4),0.85, (0.85*SUM('Nutritional status distribution'!E$4:E$5)/(1-0.85*SUM('Nutritional status distribution'!E$4:E$5)))/ (SUM('Nutritional status distribution'!E$4:E$5)/(1-SUM('Nutritional status distribution'!E$4:E$5))))</f>
        <v>0.8188174732547493</v>
      </c>
      <c r="F30" s="90">
        <f>IF(ISBLANK('Nutritional status distribution'!F$4),0.85, (0.85*SUM('Nutritional status distribution'!F$4:F$5)/(1-0.85*SUM('Nutritional status distribution'!F$4:F$5)))/ (SUM('Nutritional status distribution'!F$4:F$5)/(1-SUM('Nutritional status distribution'!F$4:F$5))))</f>
        <v>0.78166304565952383</v>
      </c>
      <c r="G30" s="90">
        <f>IF(G7=1,1,G7*0.9)</f>
        <v>1</v>
      </c>
    </row>
    <row r="31" spans="1:7" x14ac:dyDescent="0.25">
      <c r="B31" s="5" t="s">
        <v>297</v>
      </c>
      <c r="C31" s="90">
        <f t="shared" si="0"/>
        <v>1</v>
      </c>
      <c r="D31" s="90">
        <f t="shared" si="0"/>
        <v>1</v>
      </c>
      <c r="E31" s="90">
        <f>IF(ISBLANK('Nutritional status distribution'!E$4),0.85, (0.85*SUM('Nutritional status distribution'!E$4:E$5)/(1-0.85*SUM('Nutritional status distribution'!E$4:E$5)))/ (SUM('Nutritional status distribution'!E$4:E$5)/(1-SUM('Nutritional status distribution'!E$4:E$5))))</f>
        <v>0.8188174732547493</v>
      </c>
      <c r="F31" s="90">
        <f>IF(ISBLANK('Nutritional status distribution'!F$4),0.85, (0.85*SUM('Nutritional status distribution'!F$4:F$5)/(1-0.85*SUM('Nutritional status distribution'!F$4:F$5)))/ (SUM('Nutritional status distribution'!F$4:F$5)/(1-SUM('Nutritional status distribution'!F$4:F$5))))</f>
        <v>0.78166304565952383</v>
      </c>
      <c r="G31" s="90">
        <f>IF(G8=1,1,G8*0.9)</f>
        <v>1</v>
      </c>
    </row>
    <row r="32" spans="1:7" x14ac:dyDescent="0.25">
      <c r="B32" s="5" t="s">
        <v>298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299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300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287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272</v>
      </c>
      <c r="B38" s="5" t="s">
        <v>301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302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111</v>
      </c>
      <c r="B40" s="11" t="s">
        <v>303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304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305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281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306</v>
      </c>
      <c r="C49" s="90" t="s">
        <v>283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307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308</v>
      </c>
    </row>
    <row r="52" spans="1:7" x14ac:dyDescent="0.25">
      <c r="B52" s="5" t="s">
        <v>309</v>
      </c>
      <c r="C52" s="90">
        <f t="shared" ref="C52:D55" si="3">IF(C6=1,1,C6*1.1)</f>
        <v>1</v>
      </c>
      <c r="D52" s="90">
        <f t="shared" si="3"/>
        <v>1</v>
      </c>
      <c r="E52" s="90">
        <f>IF(ISBLANK('Nutritional status distribution'!E$4),0.92, (0.92*SUM('Nutritional status distribution'!E$4:E$5)/(1-0.92*SUM('Nutritional status distribution'!E$4:E$5)))/ (SUM('Nutritional status distribution'!E$4:E$5)/(1-SUM('Nutritional status distribution'!E$4:E$5))))</f>
        <v>0.90168620472774641</v>
      </c>
      <c r="F52" s="90">
        <f>IF(ISBLANK('Nutritional status distribution'!F$4),0.92, (0.92*SUM('Nutritional status distribution'!F$4:F$5)/(1-0.92*SUM('Nutritional status distribution'!F$4:F$5)))/ (SUM('Nutritional status distribution'!F$4:F$5)/(1-SUM('Nutritional status distribution'!F$4:F$5))))</f>
        <v>0.87901444877288715</v>
      </c>
      <c r="G52" s="90">
        <f>IF(G6=1,1,G6*1.1)</f>
        <v>1</v>
      </c>
    </row>
    <row r="53" spans="1:7" x14ac:dyDescent="0.25">
      <c r="B53" s="5" t="s">
        <v>310</v>
      </c>
      <c r="C53" s="90">
        <f t="shared" si="3"/>
        <v>1</v>
      </c>
      <c r="D53" s="90">
        <f t="shared" si="3"/>
        <v>1</v>
      </c>
      <c r="E53" s="90">
        <f>IF(ISBLANK('Nutritional status distribution'!E$4),0.91, (0.91*SUM('Nutritional status distribution'!E$4:E$5)/(1-0.91*SUM('Nutritional status distribution'!E$4:E$5)))/ (SUM('Nutritional status distribution'!E$4:E$5)/(1-SUM('Nutritional status distribution'!E$4:E$5))))</f>
        <v>0.88967150931207806</v>
      </c>
      <c r="F53" s="90">
        <f>IF(ISBLANK('Nutritional status distribution'!F$4),0.91, (0.91*SUM('Nutritional status distribution'!F$4:F$5)/(1-0.91*SUM('Nutritional status distribution'!F$4:F$5)))/ (SUM('Nutritional status distribution'!F$4:F$5)/(1-SUM('Nutritional status distribution'!F$4:F$5))))</f>
        <v>0.86464500474610451</v>
      </c>
      <c r="G53" s="90">
        <f>IF(G7=1,1,G7*1.1)</f>
        <v>1</v>
      </c>
    </row>
    <row r="54" spans="1:7" x14ac:dyDescent="0.25">
      <c r="B54" s="5" t="s">
        <v>311</v>
      </c>
      <c r="C54" s="90">
        <f t="shared" si="3"/>
        <v>1</v>
      </c>
      <c r="D54" s="90">
        <f t="shared" si="3"/>
        <v>1</v>
      </c>
      <c r="E54" s="90">
        <f>IF(ISBLANK('Nutritional status distribution'!E$4),0.91, (0.91*SUM('Nutritional status distribution'!E$4:E$5)/(1-0.91*SUM('Nutritional status distribution'!E$4:E$5)))/ (SUM('Nutritional status distribution'!E$4:E$5)/(1-SUM('Nutritional status distribution'!E$4:E$5))))</f>
        <v>0.88967150931207806</v>
      </c>
      <c r="F54" s="90">
        <f>IF(ISBLANK('Nutritional status distribution'!F$4),0.91, (0.91*SUM('Nutritional status distribution'!F$4:F$5)/(1-0.91*SUM('Nutritional status distribution'!F$4:F$5)))/ (SUM('Nutritional status distribution'!F$4:F$5)/(1-SUM('Nutritional status distribution'!F$4:F$5))))</f>
        <v>0.86464500474610451</v>
      </c>
      <c r="G54" s="90">
        <f>IF(G8=1,1,G8*1.1)</f>
        <v>1</v>
      </c>
    </row>
    <row r="55" spans="1:7" x14ac:dyDescent="0.25">
      <c r="B55" s="5" t="s">
        <v>312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313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314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287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272</v>
      </c>
      <c r="B61" s="5" t="s">
        <v>315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316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111</v>
      </c>
      <c r="B63" s="11" t="s">
        <v>317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318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319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uxH3qxfpHv3MxEVFpMF959vuuHVMbjUY0YDJlIXIgHOAA25UaRTm/IIjRx7RzEUfWaTP3eP7cZpYIm+m6J8PbA==" saltValue="wm1A0TwV/0DyOIoqtNvf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E28" sqref="E28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320</v>
      </c>
      <c r="C2" s="90">
        <v>0.28999999999999998</v>
      </c>
      <c r="D2" s="90">
        <v>0.28999999999999998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179</v>
      </c>
      <c r="B4" s="5" t="s">
        <v>320</v>
      </c>
      <c r="C4" s="90">
        <v>0.61</v>
      </c>
      <c r="D4" s="90">
        <v>0.61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180</v>
      </c>
      <c r="B6" s="5" t="s">
        <v>320</v>
      </c>
      <c r="C6" s="90">
        <v>0.61</v>
      </c>
      <c r="D6" s="90">
        <v>0.61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181</v>
      </c>
      <c r="B8" s="5" t="s">
        <v>320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320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189</v>
      </c>
      <c r="B12" s="5" t="s">
        <v>320</v>
      </c>
      <c r="C12" s="90">
        <f>1-0.93*0.39</f>
        <v>0.63729999999999998</v>
      </c>
      <c r="D12" s="90">
        <f>1-0.93*0.39</f>
        <v>0.63729999999999998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320</v>
      </c>
      <c r="C17" s="90">
        <f>1-0.94</f>
        <v>6.0000000000000053E-2</v>
      </c>
      <c r="D17" s="90">
        <f>1-0.94</f>
        <v>6.0000000000000053E-2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321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179</v>
      </c>
      <c r="B19" s="5" t="s">
        <v>320</v>
      </c>
      <c r="C19" s="90">
        <f>1-0.86</f>
        <v>0.14000000000000001</v>
      </c>
      <c r="D19" s="90">
        <f>1-0.86</f>
        <v>0.14000000000000001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321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180</v>
      </c>
      <c r="B21" s="5" t="s">
        <v>320</v>
      </c>
      <c r="C21" s="90">
        <f>1-0.86</f>
        <v>0.14000000000000001</v>
      </c>
      <c r="D21" s="90">
        <f>1-0.86</f>
        <v>0.14000000000000001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321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181</v>
      </c>
      <c r="B23" s="5" t="s">
        <v>320</v>
      </c>
      <c r="C23" s="90">
        <f>1-0.77</f>
        <v>0.22999999999999998</v>
      </c>
      <c r="D23" s="90">
        <f>1-0.77</f>
        <v>0.22999999999999998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321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185</v>
      </c>
      <c r="B25" s="5" t="s">
        <v>320</v>
      </c>
      <c r="C25" s="90">
        <f>1-0.77</f>
        <v>0.22999999999999998</v>
      </c>
      <c r="D25" s="90">
        <f>1-0.77</f>
        <v>0.22999999999999998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321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189</v>
      </c>
      <c r="B27" s="5" t="s">
        <v>320</v>
      </c>
      <c r="C27" s="90">
        <f>1-0.98*0.86</f>
        <v>0.15720000000000001</v>
      </c>
      <c r="D27" s="90">
        <f>1-0.98*0.86</f>
        <v>0.15720000000000001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321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320</v>
      </c>
      <c r="C32" s="90">
        <f>1-0.54</f>
        <v>0.45999999999999996</v>
      </c>
      <c r="D32" s="90">
        <f>1-0.54</f>
        <v>0.45999999999999996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321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179</v>
      </c>
      <c r="B34" s="5" t="s">
        <v>320</v>
      </c>
      <c r="C34" s="90">
        <f>1-0.17</f>
        <v>0.83</v>
      </c>
      <c r="D34" s="90">
        <f>1-0.17</f>
        <v>0.83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321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180</v>
      </c>
      <c r="B36" s="5" t="s">
        <v>320</v>
      </c>
      <c r="C36" s="90">
        <f>1-0.17</f>
        <v>0.83</v>
      </c>
      <c r="D36" s="90">
        <f>1-0.17</f>
        <v>0.83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321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181</v>
      </c>
      <c r="B38" s="5" t="s">
        <v>320</v>
      </c>
      <c r="C38" s="90">
        <f>1-0.55</f>
        <v>0.44999999999999996</v>
      </c>
      <c r="D38" s="90">
        <f>1-0.55</f>
        <v>0.44999999999999996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321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185</v>
      </c>
      <c r="B40" s="5" t="s">
        <v>320</v>
      </c>
      <c r="C40" s="90">
        <f>1-0.55</f>
        <v>0.44999999999999996</v>
      </c>
      <c r="D40" s="90">
        <f>1-0.55</f>
        <v>0.44999999999999996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321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189</v>
      </c>
      <c r="B42" s="5" t="s">
        <v>320</v>
      </c>
      <c r="C42" s="90">
        <f>1-0.88*0.17</f>
        <v>0.85040000000000004</v>
      </c>
      <c r="D42" s="90">
        <f>1-0.88*0.17</f>
        <v>0.85040000000000004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321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lEvf/7Nn9p0s2t120JFgJzNA1BIMAO9h8EmTziKGX5ZA7K3Y+rQ77oXfzNqKwsdbYQwCY96ujjsdxuDmqt1luA==" saltValue="pZcegXbvW/wKpwHEQP8pc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8" zoomScale="70" zoomScaleNormal="70" workbookViewId="0">
      <selection activeCell="E28" sqref="E28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67</v>
      </c>
      <c r="D1" s="70" t="s">
        <v>77</v>
      </c>
      <c r="E1" s="70" t="s">
        <v>78</v>
      </c>
      <c r="F1" s="70" t="s">
        <v>79</v>
      </c>
      <c r="G1" s="70" t="s">
        <v>80</v>
      </c>
      <c r="H1" s="70" t="s">
        <v>58</v>
      </c>
      <c r="I1" s="70" t="s">
        <v>59</v>
      </c>
      <c r="J1" s="70" t="s">
        <v>60</v>
      </c>
      <c r="K1" s="70" t="s">
        <v>61</v>
      </c>
      <c r="L1" s="70" t="s">
        <v>112</v>
      </c>
      <c r="M1" s="70" t="s">
        <v>113</v>
      </c>
      <c r="N1" s="70" t="s">
        <v>114</v>
      </c>
      <c r="O1" s="70" t="s">
        <v>115</v>
      </c>
    </row>
    <row r="2" spans="1:15" ht="13" customHeight="1" x14ac:dyDescent="0.3">
      <c r="A2" s="4" t="s">
        <v>322</v>
      </c>
    </row>
    <row r="3" spans="1:15" x14ac:dyDescent="0.25">
      <c r="B3" s="1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0.51</v>
      </c>
      <c r="M8" s="90">
        <v>0.51</v>
      </c>
      <c r="N8" s="90">
        <v>0.51</v>
      </c>
      <c r="O8" s="90">
        <v>0.51</v>
      </c>
    </row>
    <row r="9" spans="1:15" x14ac:dyDescent="0.25">
      <c r="B9" s="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0.51</v>
      </c>
      <c r="M9" s="90">
        <v>0.51</v>
      </c>
      <c r="N9" s="90">
        <v>0.51</v>
      </c>
      <c r="O9" s="90">
        <v>0.51</v>
      </c>
    </row>
    <row r="10" spans="1:15" x14ac:dyDescent="0.25">
      <c r="B10" s="1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0.51</v>
      </c>
      <c r="M14" s="90">
        <v>0.51</v>
      </c>
      <c r="N14" s="90">
        <v>0.51</v>
      </c>
      <c r="O14" s="90">
        <v>0.51</v>
      </c>
    </row>
    <row r="15" spans="1:15" x14ac:dyDescent="0.25">
      <c r="B15" s="5" t="s">
        <v>192</v>
      </c>
      <c r="C15" s="90">
        <v>1</v>
      </c>
      <c r="D15" s="90">
        <v>1</v>
      </c>
      <c r="E15" s="90">
        <v>0.36</v>
      </c>
      <c r="F15" s="90">
        <v>0.36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323</v>
      </c>
      <c r="B17" s="11"/>
    </row>
    <row r="18" spans="1:15" x14ac:dyDescent="0.25">
      <c r="B18" s="5" t="s">
        <v>172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173</v>
      </c>
      <c r="C19" s="90">
        <v>1</v>
      </c>
      <c r="D19" s="90">
        <v>1</v>
      </c>
      <c r="E19" s="90">
        <f>IF(ISBLANK('Nutritional status distribution'!E$14),0.72,(0.72*'Nutritional status distribution'!E$14/(1-0.72*'Nutritional status distribution'!E$14))
/ ('Nutritional status distribution'!E$14/(1-'Nutritional status distribution'!E$14)))</f>
        <v>0.53452173869132402</v>
      </c>
      <c r="F19" s="90">
        <f>IF(ISBLANK('Nutritional status distribution'!F$14),0.72,(0.72*'Nutritional status distribution'!F$14/(1-0.72*'Nutritional status distribution'!F$14))
/ ('Nutritional status distribution'!F$14/(1-'Nutritional status distribution'!F$14)))</f>
        <v>0.62023796165906386</v>
      </c>
      <c r="G19" s="90">
        <f>IF(ISBLANK('Nutritional status distribution'!G$14),0.72,(0.72*'Nutritional status distribution'!G$14/(1-0.72*'Nutritional status distribution'!G$14))
/ ('Nutritional status distribution'!G$14/(1-'Nutritional status distribution'!G$14)))</f>
        <v>0.62023796165906386</v>
      </c>
      <c r="H19" s="90">
        <f>IF(ISBLANK('Nutritional status distribution'!H$14),0.72,(0.72*'Nutritional status distribution'!H$14/(1-0.72*'Nutritional status distribution'!H$14))
/ ('Nutritional status distribution'!H$14/(1-'Nutritional status distribution'!H$14)))</f>
        <v>0.6106785317018909</v>
      </c>
      <c r="I19" s="90">
        <f>IF(ISBLANK('Nutritional status distribution'!I$14),0.72,(0.72*'Nutritional status distribution'!I$14/(1-0.72*'Nutritional status distribution'!I$14))
/ ('Nutritional status distribution'!I$14/(1-'Nutritional status distribution'!I$14)))</f>
        <v>0.6106785317018909</v>
      </c>
      <c r="J19" s="90">
        <f>IF(ISBLANK('Nutritional status distribution'!J$14),0.72,(0.72*'Nutritional status distribution'!J$14/(1-0.72*'Nutritional status distribution'!J$14))
/ ('Nutritional status distribution'!J$14/(1-'Nutritional status distribution'!J$14)))</f>
        <v>0.6106785317018909</v>
      </c>
      <c r="K19" s="90">
        <f>IF(ISBLANK('Nutritional status distribution'!K$14),0.72,(0.72*'Nutritional status distribution'!K$14/(1-0.72*'Nutritional status distribution'!K$14))
/ ('Nutritional status distribution'!K$14/(1-'Nutritional status distribution'!K$14)))</f>
        <v>0.6106785317018909</v>
      </c>
      <c r="L19" s="90">
        <f>IF(ISBLANK('Nutritional status distribution'!L$14),0.72,(0.72*'Nutritional status distribution'!L$14/(1-0.72*'Nutritional status distribution'!L$14))
/ ('Nutritional status distribution'!L$14/(1-'Nutritional status distribution'!L$14)))</f>
        <v>0.64087830904986653</v>
      </c>
      <c r="M19" s="90">
        <f>IF(ISBLANK('Nutritional status distribution'!M$14),0.72,(0.72*'Nutritional status distribution'!M$14/(1-0.72*'Nutritional status distribution'!M$14))
/ ('Nutritional status distribution'!M$14/(1-'Nutritional status distribution'!M$14)))</f>
        <v>0.64087830904986653</v>
      </c>
      <c r="N19" s="90">
        <f>IF(ISBLANK('Nutritional status distribution'!N$14),0.72,(0.72*'Nutritional status distribution'!N$14/(1-0.72*'Nutritional status distribution'!N$14))
/ ('Nutritional status distribution'!N$14/(1-'Nutritional status distribution'!N$14)))</f>
        <v>0.64087830904986653</v>
      </c>
      <c r="O19" s="90">
        <f>IF(ISBLANK('Nutritional status distribution'!O$14),0.72,(0.72*'Nutritional status distribution'!O$14/(1-0.72*'Nutritional status distribution'!O$14))
/ ('Nutritional status distribution'!O$14/(1-'Nutritional status distribution'!O$14)))</f>
        <v>0.64087830904986653</v>
      </c>
    </row>
    <row r="20" spans="1:15" x14ac:dyDescent="0.25">
      <c r="B20" s="5" t="s">
        <v>174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182</v>
      </c>
      <c r="C21" s="90">
        <v>1</v>
      </c>
      <c r="D21" s="90">
        <v>1</v>
      </c>
      <c r="E21" s="90">
        <f>IF(ISBLANK('Nutritional status distribution'!E$14),0.8,(0.8*'Nutritional status distribution'!E$14/(1-0.8*'Nutritional status distribution'!E$14))
/ ('Nutritional status distribution'!E$14/(1-'Nutritional status distribution'!E$14)))</f>
        <v>0.64109956379103972</v>
      </c>
      <c r="F21" s="90">
        <f>IF(ISBLANK('Nutritional status distribution'!F$14),0.8,(0.8*'Nutritional status distribution'!F$14/(1-0.8*'Nutritional status distribution'!F$14))
/ ('Nutritional status distribution'!F$14/(1-'Nutritional status distribution'!F$14)))</f>
        <v>0.71756014084453945</v>
      </c>
      <c r="G21" s="90">
        <f>IF(ISBLANK('Nutritional status distribution'!G$14),0.8,(0.8*'Nutritional status distribution'!G$14/(1-0.8*'Nutritional status distribution'!G$14))
/ ('Nutritional status distribution'!G$14/(1-'Nutritional status distribution'!G$14)))</f>
        <v>0.71756014084453945</v>
      </c>
      <c r="H21" s="90">
        <f>IF(ISBLANK('Nutritional status distribution'!H$14),0.8,(0.8*'Nutritional status distribution'!H$14/(1-0.8*'Nutritional status distribution'!H$14))
/ ('Nutritional status distribution'!H$14/(1-'Nutritional status distribution'!H$14)))</f>
        <v>0.7093023255813955</v>
      </c>
      <c r="I21" s="90">
        <f>IF(ISBLANK('Nutritional status distribution'!I$14),0.8,(0.8*'Nutritional status distribution'!I$14/(1-0.8*'Nutritional status distribution'!I$14))
/ ('Nutritional status distribution'!I$14/(1-'Nutritional status distribution'!I$14)))</f>
        <v>0.7093023255813955</v>
      </c>
      <c r="J21" s="90">
        <f>IF(ISBLANK('Nutritional status distribution'!J$14),0.8,(0.8*'Nutritional status distribution'!J$14/(1-0.8*'Nutritional status distribution'!J$14))
/ ('Nutritional status distribution'!J$14/(1-'Nutritional status distribution'!J$14)))</f>
        <v>0.7093023255813955</v>
      </c>
      <c r="K21" s="90">
        <f>IF(ISBLANK('Nutritional status distribution'!K$14),0.8,(0.8*'Nutritional status distribution'!K$14/(1-0.8*'Nutritional status distribution'!K$14))
/ ('Nutritional status distribution'!K$14/(1-'Nutritional status distribution'!K$14)))</f>
        <v>0.7093023255813955</v>
      </c>
      <c r="L21" s="90">
        <f>IF(ISBLANK('Nutritional status distribution'!L$14),0.8,(0.8*'Nutritional status distribution'!L$14/(1-0.8*'Nutritional status distribution'!L$14))
/ ('Nutritional status distribution'!L$14/(1-'Nutritional status distribution'!L$14)))</f>
        <v>0.73516949152542377</v>
      </c>
      <c r="M21" s="90">
        <f>IF(ISBLANK('Nutritional status distribution'!M$14),0.8,(0.8*'Nutritional status distribution'!M$14/(1-0.8*'Nutritional status distribution'!M$14))
/ ('Nutritional status distribution'!M$14/(1-'Nutritional status distribution'!M$14)))</f>
        <v>0.73516949152542377</v>
      </c>
      <c r="N21" s="90">
        <f>IF(ISBLANK('Nutritional status distribution'!N$14),0.8,(0.8*'Nutritional status distribution'!N$14/(1-0.8*'Nutritional status distribution'!N$14))
/ ('Nutritional status distribution'!N$14/(1-'Nutritional status distribution'!N$14)))</f>
        <v>0.73516949152542377</v>
      </c>
      <c r="O21" s="90">
        <f>IF(ISBLANK('Nutritional status distribution'!O$14),0.8,(0.8*'Nutritional status distribution'!O$14/(1-0.8*'Nutritional status distribution'!O$14))
/ ('Nutritional status distribution'!O$14/(1-'Nutritional status distribution'!O$14)))</f>
        <v>0.73516949152542377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67</v>
      </c>
      <c r="D24" s="70" t="s">
        <v>77</v>
      </c>
      <c r="E24" s="70" t="s">
        <v>78</v>
      </c>
      <c r="F24" s="70" t="s">
        <v>79</v>
      </c>
      <c r="G24" s="70" t="s">
        <v>80</v>
      </c>
      <c r="H24" s="70" t="s">
        <v>58</v>
      </c>
      <c r="I24" s="70" t="s">
        <v>59</v>
      </c>
      <c r="J24" s="70" t="s">
        <v>60</v>
      </c>
      <c r="K24" s="70" t="s">
        <v>61</v>
      </c>
      <c r="L24" s="70" t="s">
        <v>112</v>
      </c>
      <c r="M24" s="70" t="s">
        <v>113</v>
      </c>
      <c r="N24" s="70" t="s">
        <v>114</v>
      </c>
      <c r="O24" s="70" t="s">
        <v>115</v>
      </c>
    </row>
    <row r="25" spans="1:15" ht="13" customHeight="1" x14ac:dyDescent="0.3">
      <c r="A25" s="4" t="s">
        <v>324</v>
      </c>
    </row>
    <row r="26" spans="1:15" x14ac:dyDescent="0.25">
      <c r="B26" s="11" t="s">
        <v>170</v>
      </c>
      <c r="C26" s="90">
        <v>0.4</v>
      </c>
      <c r="D26" s="90">
        <v>0.4</v>
      </c>
      <c r="E26" s="90">
        <f t="shared" ref="E26:O26" si="0">IF(E3=1,1,E3*0.9)</f>
        <v>1</v>
      </c>
      <c r="F26" s="90">
        <f t="shared" si="0"/>
        <v>1</v>
      </c>
      <c r="G26" s="90">
        <f t="shared" si="0"/>
        <v>1</v>
      </c>
      <c r="H26" s="90">
        <f t="shared" si="0"/>
        <v>1</v>
      </c>
      <c r="I26" s="90">
        <f t="shared" si="0"/>
        <v>1</v>
      </c>
      <c r="J26" s="90">
        <f t="shared" si="0"/>
        <v>1</v>
      </c>
      <c r="K26" s="90">
        <f t="shared" si="0"/>
        <v>1</v>
      </c>
      <c r="L26" s="90">
        <f t="shared" si="0"/>
        <v>1</v>
      </c>
      <c r="M26" s="90">
        <f t="shared" si="0"/>
        <v>1</v>
      </c>
      <c r="N26" s="90">
        <f t="shared" si="0"/>
        <v>1</v>
      </c>
      <c r="O26" s="90">
        <f t="shared" si="0"/>
        <v>1</v>
      </c>
    </row>
    <row r="27" spans="1:15" x14ac:dyDescent="0.25">
      <c r="B27" s="11" t="s">
        <v>175</v>
      </c>
      <c r="C27" s="90">
        <f t="shared" ref="C27:G33" si="1">IF(C4=1,1,C4*0.9)</f>
        <v>1</v>
      </c>
      <c r="D27" s="90">
        <f t="shared" si="1"/>
        <v>1</v>
      </c>
      <c r="E27" s="90">
        <f t="shared" si="1"/>
        <v>1</v>
      </c>
      <c r="F27" s="90">
        <f t="shared" si="1"/>
        <v>1</v>
      </c>
      <c r="G27" s="90">
        <f t="shared" si="1"/>
        <v>1</v>
      </c>
      <c r="H27" s="90">
        <v>0.56000000000000005</v>
      </c>
      <c r="I27" s="90">
        <v>0.56000000000000005</v>
      </c>
      <c r="J27" s="90">
        <v>0.56000000000000005</v>
      </c>
      <c r="K27" s="90">
        <v>0.56000000000000005</v>
      </c>
      <c r="L27" s="90">
        <f t="shared" ref="L27:O30" si="2">IF(L4=1,1,L4*0.9)</f>
        <v>1</v>
      </c>
      <c r="M27" s="90">
        <f t="shared" si="2"/>
        <v>1</v>
      </c>
      <c r="N27" s="90">
        <f t="shared" si="2"/>
        <v>1</v>
      </c>
      <c r="O27" s="90">
        <f t="shared" si="2"/>
        <v>1</v>
      </c>
    </row>
    <row r="28" spans="1:15" x14ac:dyDescent="0.25">
      <c r="B28" s="11" t="s">
        <v>176</v>
      </c>
      <c r="C28" s="90">
        <f t="shared" si="1"/>
        <v>1</v>
      </c>
      <c r="D28" s="90">
        <f t="shared" si="1"/>
        <v>1</v>
      </c>
      <c r="E28" s="90">
        <f t="shared" si="1"/>
        <v>1</v>
      </c>
      <c r="F28" s="90">
        <f t="shared" si="1"/>
        <v>1</v>
      </c>
      <c r="G28" s="90">
        <f t="shared" si="1"/>
        <v>1</v>
      </c>
      <c r="H28" s="90">
        <v>0.56000000000000005</v>
      </c>
      <c r="I28" s="90">
        <v>0.56000000000000005</v>
      </c>
      <c r="J28" s="90">
        <v>0.56000000000000005</v>
      </c>
      <c r="K28" s="90">
        <v>0.56000000000000005</v>
      </c>
      <c r="L28" s="90">
        <f t="shared" si="2"/>
        <v>1</v>
      </c>
      <c r="M28" s="90">
        <f t="shared" si="2"/>
        <v>1</v>
      </c>
      <c r="N28" s="90">
        <f t="shared" si="2"/>
        <v>1</v>
      </c>
      <c r="O28" s="90">
        <f t="shared" si="2"/>
        <v>1</v>
      </c>
    </row>
    <row r="29" spans="1:15" x14ac:dyDescent="0.25">
      <c r="B29" s="11" t="s">
        <v>177</v>
      </c>
      <c r="C29" s="90">
        <f t="shared" si="1"/>
        <v>1</v>
      </c>
      <c r="D29" s="90">
        <f t="shared" si="1"/>
        <v>1</v>
      </c>
      <c r="E29" s="90">
        <f t="shared" si="1"/>
        <v>1</v>
      </c>
      <c r="F29" s="90">
        <f t="shared" si="1"/>
        <v>1</v>
      </c>
      <c r="G29" s="90">
        <f t="shared" si="1"/>
        <v>1</v>
      </c>
      <c r="H29" s="90">
        <v>0.56000000000000005</v>
      </c>
      <c r="I29" s="90">
        <v>0.56000000000000005</v>
      </c>
      <c r="J29" s="90">
        <v>0.56000000000000005</v>
      </c>
      <c r="K29" s="90">
        <v>0.56000000000000005</v>
      </c>
      <c r="L29" s="90">
        <f t="shared" si="2"/>
        <v>1</v>
      </c>
      <c r="M29" s="90">
        <f t="shared" si="2"/>
        <v>1</v>
      </c>
      <c r="N29" s="90">
        <f t="shared" si="2"/>
        <v>1</v>
      </c>
      <c r="O29" s="90">
        <f t="shared" si="2"/>
        <v>1</v>
      </c>
    </row>
    <row r="30" spans="1:15" x14ac:dyDescent="0.25">
      <c r="B30" s="11" t="s">
        <v>178</v>
      </c>
      <c r="C30" s="90">
        <f t="shared" si="1"/>
        <v>1</v>
      </c>
      <c r="D30" s="90">
        <f t="shared" si="1"/>
        <v>1</v>
      </c>
      <c r="E30" s="90">
        <f t="shared" si="1"/>
        <v>1</v>
      </c>
      <c r="F30" s="90">
        <f t="shared" si="1"/>
        <v>1</v>
      </c>
      <c r="G30" s="90">
        <f t="shared" si="1"/>
        <v>1</v>
      </c>
      <c r="H30" s="90">
        <v>0.56000000000000005</v>
      </c>
      <c r="I30" s="90">
        <v>0.56000000000000005</v>
      </c>
      <c r="J30" s="90">
        <v>0.56000000000000005</v>
      </c>
      <c r="K30" s="90">
        <v>0.56000000000000005</v>
      </c>
      <c r="L30" s="90">
        <f t="shared" si="2"/>
        <v>1</v>
      </c>
      <c r="M30" s="90">
        <f t="shared" si="2"/>
        <v>1</v>
      </c>
      <c r="N30" s="90">
        <f t="shared" si="2"/>
        <v>1</v>
      </c>
      <c r="O30" s="90">
        <f t="shared" si="2"/>
        <v>1</v>
      </c>
    </row>
    <row r="31" spans="1:15" x14ac:dyDescent="0.25">
      <c r="B31" s="5" t="s">
        <v>179</v>
      </c>
      <c r="C31" s="90">
        <f t="shared" si="1"/>
        <v>1</v>
      </c>
      <c r="D31" s="90">
        <f t="shared" si="1"/>
        <v>1</v>
      </c>
      <c r="E31" s="90">
        <f t="shared" si="1"/>
        <v>1</v>
      </c>
      <c r="F31" s="90">
        <f t="shared" si="1"/>
        <v>1</v>
      </c>
      <c r="G31" s="90">
        <f t="shared" si="1"/>
        <v>1</v>
      </c>
      <c r="H31" s="90">
        <f t="shared" ref="H31:K34" si="3">IF(H8=1,1,H8*0.9)</f>
        <v>1</v>
      </c>
      <c r="I31" s="90">
        <f t="shared" si="3"/>
        <v>1</v>
      </c>
      <c r="J31" s="90">
        <f t="shared" si="3"/>
        <v>1</v>
      </c>
      <c r="K31" s="90">
        <f t="shared" si="3"/>
        <v>1</v>
      </c>
      <c r="L31" s="90">
        <v>0.38</v>
      </c>
      <c r="M31" s="90">
        <v>0.38</v>
      </c>
      <c r="N31" s="90">
        <v>0.38</v>
      </c>
      <c r="O31" s="90">
        <v>0.38</v>
      </c>
    </row>
    <row r="32" spans="1:15" x14ac:dyDescent="0.25">
      <c r="B32" s="5" t="s">
        <v>180</v>
      </c>
      <c r="C32" s="90">
        <f t="shared" si="1"/>
        <v>1</v>
      </c>
      <c r="D32" s="90">
        <f t="shared" si="1"/>
        <v>1</v>
      </c>
      <c r="E32" s="90">
        <f t="shared" si="1"/>
        <v>1</v>
      </c>
      <c r="F32" s="90">
        <f t="shared" si="1"/>
        <v>1</v>
      </c>
      <c r="G32" s="90">
        <f t="shared" si="1"/>
        <v>1</v>
      </c>
      <c r="H32" s="90">
        <f t="shared" si="3"/>
        <v>1</v>
      </c>
      <c r="I32" s="90">
        <f t="shared" si="3"/>
        <v>1</v>
      </c>
      <c r="J32" s="90">
        <f t="shared" si="3"/>
        <v>1</v>
      </c>
      <c r="K32" s="90">
        <f t="shared" si="3"/>
        <v>1</v>
      </c>
      <c r="L32" s="90">
        <v>0.38</v>
      </c>
      <c r="M32" s="90">
        <v>0.38</v>
      </c>
      <c r="N32" s="90">
        <v>0.38</v>
      </c>
      <c r="O32" s="90">
        <v>0.38</v>
      </c>
    </row>
    <row r="33" spans="1:15" x14ac:dyDescent="0.25">
      <c r="B33" s="11" t="s">
        <v>181</v>
      </c>
      <c r="C33" s="90">
        <f t="shared" si="1"/>
        <v>1</v>
      </c>
      <c r="D33" s="90">
        <f t="shared" si="1"/>
        <v>1</v>
      </c>
      <c r="E33" s="90">
        <f t="shared" si="1"/>
        <v>1</v>
      </c>
      <c r="F33" s="90">
        <f t="shared" si="1"/>
        <v>1</v>
      </c>
      <c r="G33" s="90">
        <f t="shared" si="1"/>
        <v>1</v>
      </c>
      <c r="H33" s="90">
        <f t="shared" si="3"/>
        <v>1</v>
      </c>
      <c r="I33" s="90">
        <f t="shared" si="3"/>
        <v>1</v>
      </c>
      <c r="J33" s="90">
        <f t="shared" si="3"/>
        <v>1</v>
      </c>
      <c r="K33" s="90">
        <f t="shared" si="3"/>
        <v>1</v>
      </c>
      <c r="L33" s="90">
        <v>0.74</v>
      </c>
      <c r="M33" s="90">
        <v>0.74</v>
      </c>
      <c r="N33" s="90">
        <v>0.74</v>
      </c>
      <c r="O33" s="90">
        <v>0.74</v>
      </c>
    </row>
    <row r="34" spans="1:15" x14ac:dyDescent="0.25">
      <c r="B34" s="5" t="s">
        <v>184</v>
      </c>
      <c r="C34" s="90">
        <f>IF(C11=1,1,C11*0.9)</f>
        <v>1</v>
      </c>
      <c r="D34" s="90">
        <f>IF(D11=1,1,D11*0.9)</f>
        <v>1</v>
      </c>
      <c r="E34" s="90">
        <v>0.62</v>
      </c>
      <c r="F34" s="90">
        <v>0.62</v>
      </c>
      <c r="G34" s="90">
        <v>1</v>
      </c>
      <c r="H34" s="90">
        <f t="shared" si="3"/>
        <v>1</v>
      </c>
      <c r="I34" s="90">
        <f t="shared" si="3"/>
        <v>1</v>
      </c>
      <c r="J34" s="90">
        <f t="shared" si="3"/>
        <v>1</v>
      </c>
      <c r="K34" s="90">
        <f t="shared" si="3"/>
        <v>1</v>
      </c>
      <c r="L34" s="90">
        <f>IF(L11=1,1,L11*0.9)</f>
        <v>1</v>
      </c>
      <c r="M34" s="90">
        <f>IF(M11=1,1,M11*0.9)</f>
        <v>1</v>
      </c>
      <c r="N34" s="90">
        <f>IF(N11=1,1,N11*0.9)</f>
        <v>1</v>
      </c>
      <c r="O34" s="90">
        <f>IF(O11=1,1,O11*0.9)</f>
        <v>1</v>
      </c>
    </row>
    <row r="35" spans="1:15" x14ac:dyDescent="0.25">
      <c r="B35" s="11" t="s">
        <v>185</v>
      </c>
      <c r="C35" s="90">
        <v>0.74</v>
      </c>
      <c r="D35" s="90">
        <v>0.74</v>
      </c>
      <c r="E35" s="90">
        <v>0.74</v>
      </c>
      <c r="F35" s="90">
        <v>0.74</v>
      </c>
      <c r="G35" s="90">
        <v>0.74</v>
      </c>
      <c r="H35" s="90">
        <v>0.74</v>
      </c>
      <c r="I35" s="90">
        <v>0.74</v>
      </c>
      <c r="J35" s="90">
        <v>0.74</v>
      </c>
      <c r="K35" s="90">
        <v>0.74</v>
      </c>
      <c r="L35" s="90">
        <v>0.74</v>
      </c>
      <c r="M35" s="90">
        <v>0.74</v>
      </c>
      <c r="N35" s="90">
        <v>0.74</v>
      </c>
      <c r="O35" s="90">
        <v>0.74</v>
      </c>
    </row>
    <row r="36" spans="1:15" x14ac:dyDescent="0.25">
      <c r="B36" s="11" t="s">
        <v>188</v>
      </c>
      <c r="C36" s="90">
        <f t="shared" ref="C36:D38" si="4">IF(C13=1,1,C13*0.9)</f>
        <v>1</v>
      </c>
      <c r="D36" s="90">
        <f t="shared" si="4"/>
        <v>1</v>
      </c>
      <c r="E36" s="90">
        <v>0.62</v>
      </c>
      <c r="F36" s="90">
        <v>0.62</v>
      </c>
      <c r="G36" s="90">
        <v>0.62</v>
      </c>
      <c r="H36" s="90">
        <f t="shared" ref="H36:O36" si="5">IF(H13=1,1,H13*0.9)</f>
        <v>1</v>
      </c>
      <c r="I36" s="90">
        <f t="shared" si="5"/>
        <v>1</v>
      </c>
      <c r="J36" s="90">
        <f t="shared" si="5"/>
        <v>1</v>
      </c>
      <c r="K36" s="90">
        <f t="shared" si="5"/>
        <v>1</v>
      </c>
      <c r="L36" s="90">
        <f t="shared" si="5"/>
        <v>1</v>
      </c>
      <c r="M36" s="90">
        <f t="shared" si="5"/>
        <v>1</v>
      </c>
      <c r="N36" s="90">
        <f t="shared" si="5"/>
        <v>1</v>
      </c>
      <c r="O36" s="90">
        <f t="shared" si="5"/>
        <v>1</v>
      </c>
    </row>
    <row r="37" spans="1:15" x14ac:dyDescent="0.25">
      <c r="B37" s="11" t="s">
        <v>189</v>
      </c>
      <c r="C37" s="90">
        <f t="shared" si="4"/>
        <v>1</v>
      </c>
      <c r="D37" s="90">
        <f t="shared" si="4"/>
        <v>1</v>
      </c>
      <c r="E37" s="90">
        <f t="shared" ref="E37:K37" si="6">IF(E14=1,1,E14*0.9)</f>
        <v>1</v>
      </c>
      <c r="F37" s="90">
        <f t="shared" si="6"/>
        <v>1</v>
      </c>
      <c r="G37" s="90">
        <f t="shared" si="6"/>
        <v>1</v>
      </c>
      <c r="H37" s="90">
        <f t="shared" si="6"/>
        <v>1</v>
      </c>
      <c r="I37" s="90">
        <f t="shared" si="6"/>
        <v>1</v>
      </c>
      <c r="J37" s="90">
        <f t="shared" si="6"/>
        <v>1</v>
      </c>
      <c r="K37" s="90">
        <f t="shared" si="6"/>
        <v>1</v>
      </c>
      <c r="L37" s="90">
        <f>L32</f>
        <v>0.38</v>
      </c>
      <c r="M37" s="90">
        <f>M32</f>
        <v>0.38</v>
      </c>
      <c r="N37" s="90">
        <f>N32</f>
        <v>0.38</v>
      </c>
      <c r="O37" s="90">
        <f>O32</f>
        <v>0.38</v>
      </c>
    </row>
    <row r="38" spans="1:15" x14ac:dyDescent="0.25">
      <c r="B38" s="5" t="s">
        <v>192</v>
      </c>
      <c r="C38" s="90">
        <f t="shared" si="4"/>
        <v>1</v>
      </c>
      <c r="D38" s="90">
        <f t="shared" si="4"/>
        <v>1</v>
      </c>
      <c r="E38" s="90">
        <v>0.3</v>
      </c>
      <c r="F38" s="90">
        <v>0.3</v>
      </c>
      <c r="G38" s="90">
        <f t="shared" ref="G38:O38" si="7">IF(G15=1,1,G15*0.9)</f>
        <v>1</v>
      </c>
      <c r="H38" s="90">
        <f t="shared" si="7"/>
        <v>1</v>
      </c>
      <c r="I38" s="90">
        <f t="shared" si="7"/>
        <v>1</v>
      </c>
      <c r="J38" s="90">
        <f t="shared" si="7"/>
        <v>1</v>
      </c>
      <c r="K38" s="90">
        <f t="shared" si="7"/>
        <v>1</v>
      </c>
      <c r="L38" s="90">
        <f t="shared" si="7"/>
        <v>1</v>
      </c>
      <c r="M38" s="90">
        <f t="shared" si="7"/>
        <v>1</v>
      </c>
      <c r="N38" s="90">
        <f t="shared" si="7"/>
        <v>1</v>
      </c>
      <c r="O38" s="90">
        <f t="shared" si="7"/>
        <v>1</v>
      </c>
    </row>
    <row r="40" spans="1:15" ht="13" customHeight="1" x14ac:dyDescent="0.3">
      <c r="A40" s="4" t="s">
        <v>325</v>
      </c>
      <c r="B40" s="11"/>
    </row>
    <row r="41" spans="1:15" x14ac:dyDescent="0.25">
      <c r="B41" s="5" t="s">
        <v>172</v>
      </c>
      <c r="C41" s="90">
        <f t="shared" ref="C41:O41" si="8">IF(C18=1,1,C18*0.9)</f>
        <v>1</v>
      </c>
      <c r="D41" s="90">
        <f t="shared" si="8"/>
        <v>1</v>
      </c>
      <c r="E41" s="90">
        <f t="shared" si="8"/>
        <v>1</v>
      </c>
      <c r="F41" s="90">
        <f t="shared" si="8"/>
        <v>1</v>
      </c>
      <c r="G41" s="90">
        <f t="shared" si="8"/>
        <v>1</v>
      </c>
      <c r="H41" s="90">
        <f t="shared" si="8"/>
        <v>1</v>
      </c>
      <c r="I41" s="90">
        <f t="shared" si="8"/>
        <v>1</v>
      </c>
      <c r="J41" s="90">
        <f t="shared" si="8"/>
        <v>1</v>
      </c>
      <c r="K41" s="90">
        <f t="shared" si="8"/>
        <v>1</v>
      </c>
      <c r="L41" s="90">
        <f t="shared" si="8"/>
        <v>1</v>
      </c>
      <c r="M41" s="90">
        <f t="shared" si="8"/>
        <v>1</v>
      </c>
      <c r="N41" s="90">
        <f t="shared" si="8"/>
        <v>1</v>
      </c>
      <c r="O41" s="90">
        <f t="shared" si="8"/>
        <v>1</v>
      </c>
    </row>
    <row r="42" spans="1:15" x14ac:dyDescent="0.25">
      <c r="B42" s="5" t="s">
        <v>173</v>
      </c>
      <c r="C42" s="90">
        <f t="shared" ref="C42:D44" si="9">IF(C19=1,1,C19*0.9)</f>
        <v>1</v>
      </c>
      <c r="D42" s="90">
        <f t="shared" si="9"/>
        <v>1</v>
      </c>
      <c r="E42" s="90">
        <f>IF(ISBLANK('Nutritional status distribution'!E$14),0.54,(0.54*'Nutritional status distribution'!E$14/(1-0.54*'Nutritional status distribution'!E$14))
/ ('Nutritional status distribution'!E$14/(1-'Nutritional status distribution'!E$14)))</f>
        <v>0.34393392353436369</v>
      </c>
      <c r="F42" s="90">
        <f>IF(ISBLANK('Nutritional status distribution'!F$14),0.54,(0.54*'Nutritional status distribution'!F$14/(1-0.54*'Nutritional status distribution'!F$14))
/ ('Nutritional status distribution'!F$14/(1-'Nutritional status distribution'!F$14)))</f>
        <v>0.42713240076093345</v>
      </c>
      <c r="G42" s="90">
        <f>IF(ISBLANK('Nutritional status distribution'!G$14),0.54,(0.54*'Nutritional status distribution'!G$14/(1-0.54*'Nutritional status distribution'!G$14))
/ ('Nutritional status distribution'!G$14/(1-'Nutritional status distribution'!G$14)))</f>
        <v>0.42713240076093345</v>
      </c>
      <c r="H42" s="90">
        <f>IF(ISBLANK('Nutritional status distribution'!H$14),0.54,(0.54*'Nutritional status distribution'!H$14/(1-0.54*'Nutritional status distribution'!H$14))
/ ('Nutritional status distribution'!H$14/(1-'Nutritional status distribution'!H$14)))</f>
        <v>0.41727894603496324</v>
      </c>
      <c r="I42" s="90">
        <f>IF(ISBLANK('Nutritional status distribution'!I$14),0.54,(0.54*'Nutritional status distribution'!I$14/(1-0.54*'Nutritional status distribution'!I$14))
/ ('Nutritional status distribution'!I$14/(1-'Nutritional status distribution'!I$14)))</f>
        <v>0.41727894603496324</v>
      </c>
      <c r="J42" s="90">
        <f>IF(ISBLANK('Nutritional status distribution'!J$14),0.54,(0.54*'Nutritional status distribution'!J$14/(1-0.54*'Nutritional status distribution'!J$14))
/ ('Nutritional status distribution'!J$14/(1-'Nutritional status distribution'!J$14)))</f>
        <v>0.41727894603496324</v>
      </c>
      <c r="K42" s="90">
        <f>IF(ISBLANK('Nutritional status distribution'!K$14),0.54,(0.54*'Nutritional status distribution'!K$14/(1-0.54*'Nutritional status distribution'!K$14))
/ ('Nutritional status distribution'!K$14/(1-'Nutritional status distribution'!K$14)))</f>
        <v>0.41727894603496324</v>
      </c>
      <c r="L42" s="90">
        <f>IF(ISBLANK('Nutritional status distribution'!L$14),0.54,(0.54*'Nutritional status distribution'!L$14/(1-0.54*'Nutritional status distribution'!L$14))
/ ('Nutritional status distribution'!L$14/(1-'Nutritional status distribution'!L$14)))</f>
        <v>0.44894340888399059</v>
      </c>
      <c r="M42" s="90">
        <f>IF(ISBLANK('Nutritional status distribution'!M$14),0.54,(0.54*'Nutritional status distribution'!M$14/(1-0.54*'Nutritional status distribution'!M$14))
/ ('Nutritional status distribution'!M$14/(1-'Nutritional status distribution'!M$14)))</f>
        <v>0.44894340888399059</v>
      </c>
      <c r="N42" s="90">
        <f>IF(ISBLANK('Nutritional status distribution'!N$14),0.54,(0.54*'Nutritional status distribution'!N$14/(1-0.54*'Nutritional status distribution'!N$14))
/ ('Nutritional status distribution'!N$14/(1-'Nutritional status distribution'!N$14)))</f>
        <v>0.44894340888399059</v>
      </c>
      <c r="O42" s="90">
        <f>IF(ISBLANK('Nutritional status distribution'!O$14),0.54,(0.54*'Nutritional status distribution'!O$14/(1-0.54*'Nutritional status distribution'!O$14))
/ ('Nutritional status distribution'!O$14/(1-'Nutritional status distribution'!O$14)))</f>
        <v>0.44894340888399059</v>
      </c>
    </row>
    <row r="43" spans="1:15" x14ac:dyDescent="0.25">
      <c r="B43" s="5" t="s">
        <v>174</v>
      </c>
      <c r="C43" s="90">
        <f t="shared" si="9"/>
        <v>1</v>
      </c>
      <c r="D43" s="90">
        <f t="shared" si="9"/>
        <v>1</v>
      </c>
      <c r="E43" s="90">
        <f t="shared" ref="E43:O43" si="10">IF(E20=1,1,E20*0.9)</f>
        <v>1</v>
      </c>
      <c r="F43" s="90">
        <f t="shared" si="10"/>
        <v>1</v>
      </c>
      <c r="G43" s="90">
        <f t="shared" si="10"/>
        <v>1</v>
      </c>
      <c r="H43" s="90">
        <f t="shared" si="10"/>
        <v>1</v>
      </c>
      <c r="I43" s="90">
        <f t="shared" si="10"/>
        <v>1</v>
      </c>
      <c r="J43" s="90">
        <f t="shared" si="10"/>
        <v>1</v>
      </c>
      <c r="K43" s="90">
        <f t="shared" si="10"/>
        <v>1</v>
      </c>
      <c r="L43" s="90">
        <f t="shared" si="10"/>
        <v>1</v>
      </c>
      <c r="M43" s="90">
        <f t="shared" si="10"/>
        <v>1</v>
      </c>
      <c r="N43" s="90">
        <f t="shared" si="10"/>
        <v>1</v>
      </c>
      <c r="O43" s="90">
        <f t="shared" si="10"/>
        <v>1</v>
      </c>
    </row>
    <row r="44" spans="1:15" x14ac:dyDescent="0.25">
      <c r="B44" s="5" t="s">
        <v>182</v>
      </c>
      <c r="C44" s="90">
        <f t="shared" si="9"/>
        <v>1</v>
      </c>
      <c r="D44" s="90">
        <f t="shared" si="9"/>
        <v>1</v>
      </c>
      <c r="E44" s="90">
        <f>IF(ISBLANK('Nutritional status distribution'!E$14),0.7,(0.7*'Nutritional status distribution'!E$14/(1-0.7*'Nutritional status distribution'!E$14))
/ ('Nutritional status distribution'!E$14/(1-'Nutritional status distribution'!E$14)))</f>
        <v>0.51028436336167149</v>
      </c>
      <c r="F44" s="90">
        <f>IF(ISBLANK('Nutritional status distribution'!F$14),0.7,(0.7*'Nutritional status distribution'!F$14/(1-0.7*'Nutritional status distribution'!F$14))
/ ('Nutritional status distribution'!F$14/(1-'Nutritional status distribution'!F$14)))</f>
        <v>0.59709961798374744</v>
      </c>
      <c r="G44" s="90">
        <f>IF(ISBLANK('Nutritional status distribution'!G$14),0.7,(0.7*'Nutritional status distribution'!G$14/(1-0.7*'Nutritional status distribution'!G$14))
/ ('Nutritional status distribution'!G$14/(1-'Nutritional status distribution'!G$14)))</f>
        <v>0.59709961798374744</v>
      </c>
      <c r="H44" s="90">
        <f>IF(ISBLANK('Nutritional status distribution'!H$14),0.7,(0.7*'Nutritional status distribution'!H$14/(1-0.7*'Nutritional status distribution'!H$14))
/ ('Nutritional status distribution'!H$14/(1-'Nutritional status distribution'!H$14)))</f>
        <v>0.58734525447042629</v>
      </c>
      <c r="I44" s="90">
        <f>IF(ISBLANK('Nutritional status distribution'!I$14),0.7,(0.7*'Nutritional status distribution'!I$14/(1-0.7*'Nutritional status distribution'!I$14))
/ ('Nutritional status distribution'!I$14/(1-'Nutritional status distribution'!I$14)))</f>
        <v>0.58734525447042629</v>
      </c>
      <c r="J44" s="90">
        <f>IF(ISBLANK('Nutritional status distribution'!J$14),0.7,(0.7*'Nutritional status distribution'!J$14/(1-0.7*'Nutritional status distribution'!J$14))
/ ('Nutritional status distribution'!J$14/(1-'Nutritional status distribution'!J$14)))</f>
        <v>0.58734525447042629</v>
      </c>
      <c r="K44" s="90">
        <f>IF(ISBLANK('Nutritional status distribution'!K$14),0.7,(0.7*'Nutritional status distribution'!K$14/(1-0.7*'Nutritional status distribution'!K$14))
/ ('Nutritional status distribution'!K$14/(1-'Nutritional status distribution'!K$14)))</f>
        <v>0.58734525447042629</v>
      </c>
      <c r="L44" s="90">
        <f>IF(ISBLANK('Nutritional status distribution'!L$14),0.7,(0.7*'Nutritional status distribution'!L$14/(1-0.7*'Nutritional status distribution'!L$14))
/ ('Nutritional status distribution'!L$14/(1-'Nutritional status distribution'!L$14)))</f>
        <v>0.61822346653092375</v>
      </c>
      <c r="M44" s="90">
        <f>IF(ISBLANK('Nutritional status distribution'!M$14),0.7,(0.7*'Nutritional status distribution'!M$14/(1-0.7*'Nutritional status distribution'!M$14))
/ ('Nutritional status distribution'!M$14/(1-'Nutritional status distribution'!M$14)))</f>
        <v>0.61822346653092375</v>
      </c>
      <c r="N44" s="90">
        <f>IF(ISBLANK('Nutritional status distribution'!N$14),0.7,(0.7*'Nutritional status distribution'!N$14/(1-0.7*'Nutritional status distribution'!N$14))
/ ('Nutritional status distribution'!N$14/(1-'Nutritional status distribution'!N$14)))</f>
        <v>0.61822346653092375</v>
      </c>
      <c r="O44" s="90">
        <f>IF(ISBLANK('Nutritional status distribution'!O$14),0.7,(0.7*'Nutritional status distribution'!O$14/(1-0.7*'Nutritional status distribution'!O$14))
/ ('Nutritional status distribution'!O$14/(1-'Nutritional status distribution'!O$14)))</f>
        <v>0.61822346653092375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67</v>
      </c>
      <c r="D47" s="70" t="s">
        <v>77</v>
      </c>
      <c r="E47" s="70" t="s">
        <v>78</v>
      </c>
      <c r="F47" s="70" t="s">
        <v>79</v>
      </c>
      <c r="G47" s="70" t="s">
        <v>80</v>
      </c>
      <c r="H47" s="70" t="s">
        <v>58</v>
      </c>
      <c r="I47" s="70" t="s">
        <v>59</v>
      </c>
      <c r="J47" s="70" t="s">
        <v>60</v>
      </c>
      <c r="K47" s="70" t="s">
        <v>61</v>
      </c>
      <c r="L47" s="70" t="s">
        <v>112</v>
      </c>
      <c r="M47" s="70" t="s">
        <v>113</v>
      </c>
      <c r="N47" s="70" t="s">
        <v>114</v>
      </c>
      <c r="O47" s="70" t="s">
        <v>115</v>
      </c>
    </row>
    <row r="48" spans="1:15" ht="13" customHeight="1" x14ac:dyDescent="0.3">
      <c r="A48" s="4" t="s">
        <v>326</v>
      </c>
    </row>
    <row r="49" spans="1:15" x14ac:dyDescent="0.25">
      <c r="B49" s="11" t="s">
        <v>170</v>
      </c>
      <c r="C49" s="90">
        <v>0.7</v>
      </c>
      <c r="D49" s="90">
        <v>0.7</v>
      </c>
      <c r="E49" s="90">
        <f t="shared" ref="E49:O49" si="11">IF(E3=1,1,E3*1.05)</f>
        <v>1</v>
      </c>
      <c r="F49" s="90">
        <f t="shared" si="11"/>
        <v>1</v>
      </c>
      <c r="G49" s="90">
        <f t="shared" si="11"/>
        <v>1</v>
      </c>
      <c r="H49" s="90">
        <f t="shared" si="11"/>
        <v>1</v>
      </c>
      <c r="I49" s="90">
        <f t="shared" si="11"/>
        <v>1</v>
      </c>
      <c r="J49" s="90">
        <f t="shared" si="11"/>
        <v>1</v>
      </c>
      <c r="K49" s="90">
        <f t="shared" si="11"/>
        <v>1</v>
      </c>
      <c r="L49" s="90">
        <f t="shared" si="11"/>
        <v>1</v>
      </c>
      <c r="M49" s="90">
        <f t="shared" si="11"/>
        <v>1</v>
      </c>
      <c r="N49" s="90">
        <f t="shared" si="11"/>
        <v>1</v>
      </c>
      <c r="O49" s="90">
        <f t="shared" si="11"/>
        <v>1</v>
      </c>
    </row>
    <row r="50" spans="1:15" x14ac:dyDescent="0.25">
      <c r="B50" s="11" t="s">
        <v>175</v>
      </c>
      <c r="C50" s="90">
        <f t="shared" ref="C50:G56" si="12">IF(C4=1,1,C4*1.05)</f>
        <v>1</v>
      </c>
      <c r="D50" s="90">
        <f t="shared" si="12"/>
        <v>1</v>
      </c>
      <c r="E50" s="90">
        <f t="shared" si="12"/>
        <v>1</v>
      </c>
      <c r="F50" s="90">
        <f t="shared" si="12"/>
        <v>1</v>
      </c>
      <c r="G50" s="90">
        <f t="shared" si="12"/>
        <v>1</v>
      </c>
      <c r="H50" s="90">
        <v>0.95</v>
      </c>
      <c r="I50" s="90">
        <v>0.95</v>
      </c>
      <c r="J50" s="90">
        <v>0.95</v>
      </c>
      <c r="K50" s="90">
        <v>0.95</v>
      </c>
      <c r="L50" s="90">
        <f t="shared" ref="L50:O53" si="13">IF(L4=1,1,L4*1.05)</f>
        <v>1</v>
      </c>
      <c r="M50" s="90">
        <f t="shared" si="13"/>
        <v>1</v>
      </c>
      <c r="N50" s="90">
        <f t="shared" si="13"/>
        <v>1</v>
      </c>
      <c r="O50" s="90">
        <f t="shared" si="13"/>
        <v>1</v>
      </c>
    </row>
    <row r="51" spans="1:15" x14ac:dyDescent="0.25">
      <c r="B51" s="11" t="s">
        <v>176</v>
      </c>
      <c r="C51" s="90">
        <f t="shared" si="12"/>
        <v>1</v>
      </c>
      <c r="D51" s="90">
        <f t="shared" si="12"/>
        <v>1</v>
      </c>
      <c r="E51" s="90">
        <f t="shared" si="12"/>
        <v>1</v>
      </c>
      <c r="F51" s="90">
        <f t="shared" si="12"/>
        <v>1</v>
      </c>
      <c r="G51" s="90">
        <f t="shared" si="12"/>
        <v>1</v>
      </c>
      <c r="H51" s="90">
        <v>0.95</v>
      </c>
      <c r="I51" s="90">
        <v>0.95</v>
      </c>
      <c r="J51" s="90">
        <v>0.95</v>
      </c>
      <c r="K51" s="90">
        <v>0.95</v>
      </c>
      <c r="L51" s="90">
        <f t="shared" si="13"/>
        <v>1</v>
      </c>
      <c r="M51" s="90">
        <f t="shared" si="13"/>
        <v>1</v>
      </c>
      <c r="N51" s="90">
        <f t="shared" si="13"/>
        <v>1</v>
      </c>
      <c r="O51" s="90">
        <f t="shared" si="13"/>
        <v>1</v>
      </c>
    </row>
    <row r="52" spans="1:15" x14ac:dyDescent="0.25">
      <c r="B52" s="11" t="s">
        <v>177</v>
      </c>
      <c r="C52" s="90">
        <f t="shared" si="12"/>
        <v>1</v>
      </c>
      <c r="D52" s="90">
        <f t="shared" si="12"/>
        <v>1</v>
      </c>
      <c r="E52" s="90">
        <f t="shared" si="12"/>
        <v>1</v>
      </c>
      <c r="F52" s="90">
        <f t="shared" si="12"/>
        <v>1</v>
      </c>
      <c r="G52" s="90">
        <f t="shared" si="12"/>
        <v>1</v>
      </c>
      <c r="H52" s="90">
        <v>0.95</v>
      </c>
      <c r="I52" s="90">
        <v>0.95</v>
      </c>
      <c r="J52" s="90">
        <v>0.95</v>
      </c>
      <c r="K52" s="90">
        <v>0.95</v>
      </c>
      <c r="L52" s="90">
        <f t="shared" si="13"/>
        <v>1</v>
      </c>
      <c r="M52" s="90">
        <f t="shared" si="13"/>
        <v>1</v>
      </c>
      <c r="N52" s="90">
        <f t="shared" si="13"/>
        <v>1</v>
      </c>
      <c r="O52" s="90">
        <f t="shared" si="13"/>
        <v>1</v>
      </c>
    </row>
    <row r="53" spans="1:15" x14ac:dyDescent="0.25">
      <c r="B53" s="11" t="s">
        <v>178</v>
      </c>
      <c r="C53" s="90">
        <f t="shared" si="12"/>
        <v>1</v>
      </c>
      <c r="D53" s="90">
        <f t="shared" si="12"/>
        <v>1</v>
      </c>
      <c r="E53" s="90">
        <f t="shared" si="12"/>
        <v>1</v>
      </c>
      <c r="F53" s="90">
        <f t="shared" si="12"/>
        <v>1</v>
      </c>
      <c r="G53" s="90">
        <f t="shared" si="12"/>
        <v>1</v>
      </c>
      <c r="H53" s="90">
        <v>0.95</v>
      </c>
      <c r="I53" s="90">
        <v>0.95</v>
      </c>
      <c r="J53" s="90">
        <v>0.95</v>
      </c>
      <c r="K53" s="90">
        <v>0.95</v>
      </c>
      <c r="L53" s="90">
        <f t="shared" si="13"/>
        <v>1</v>
      </c>
      <c r="M53" s="90">
        <f t="shared" si="13"/>
        <v>1</v>
      </c>
      <c r="N53" s="90">
        <f t="shared" si="13"/>
        <v>1</v>
      </c>
      <c r="O53" s="90">
        <f t="shared" si="13"/>
        <v>1</v>
      </c>
    </row>
    <row r="54" spans="1:15" x14ac:dyDescent="0.25">
      <c r="B54" s="5" t="s">
        <v>179</v>
      </c>
      <c r="C54" s="90">
        <f t="shared" si="12"/>
        <v>1</v>
      </c>
      <c r="D54" s="90">
        <f t="shared" si="12"/>
        <v>1</v>
      </c>
      <c r="E54" s="90">
        <f t="shared" si="12"/>
        <v>1</v>
      </c>
      <c r="F54" s="90">
        <f t="shared" si="12"/>
        <v>1</v>
      </c>
      <c r="G54" s="90">
        <f t="shared" si="12"/>
        <v>1</v>
      </c>
      <c r="H54" s="90">
        <f t="shared" ref="H54:K57" si="14">IF(H8=1,1,H8*1.05)</f>
        <v>1</v>
      </c>
      <c r="I54" s="90">
        <f t="shared" si="14"/>
        <v>1</v>
      </c>
      <c r="J54" s="90">
        <f t="shared" si="14"/>
        <v>1</v>
      </c>
      <c r="K54" s="90">
        <f t="shared" si="14"/>
        <v>1</v>
      </c>
      <c r="L54" s="90">
        <v>0.7</v>
      </c>
      <c r="M54" s="90">
        <v>0.7</v>
      </c>
      <c r="N54" s="90">
        <v>0.7</v>
      </c>
      <c r="O54" s="90">
        <v>0.7</v>
      </c>
    </row>
    <row r="55" spans="1:15" x14ac:dyDescent="0.25">
      <c r="B55" s="5" t="s">
        <v>180</v>
      </c>
      <c r="C55" s="90">
        <f t="shared" si="12"/>
        <v>1</v>
      </c>
      <c r="D55" s="90">
        <f t="shared" si="12"/>
        <v>1</v>
      </c>
      <c r="E55" s="90">
        <f t="shared" si="12"/>
        <v>1</v>
      </c>
      <c r="F55" s="90">
        <f t="shared" si="12"/>
        <v>1</v>
      </c>
      <c r="G55" s="90">
        <f t="shared" si="12"/>
        <v>1</v>
      </c>
      <c r="H55" s="90">
        <f t="shared" si="14"/>
        <v>1</v>
      </c>
      <c r="I55" s="90">
        <f t="shared" si="14"/>
        <v>1</v>
      </c>
      <c r="J55" s="90">
        <f t="shared" si="14"/>
        <v>1</v>
      </c>
      <c r="K55" s="90">
        <f t="shared" si="14"/>
        <v>1</v>
      </c>
      <c r="L55" s="90">
        <v>0.7</v>
      </c>
      <c r="M55" s="90">
        <v>0.7</v>
      </c>
      <c r="N55" s="90">
        <v>0.7</v>
      </c>
      <c r="O55" s="90">
        <v>0.7</v>
      </c>
    </row>
    <row r="56" spans="1:15" x14ac:dyDescent="0.25">
      <c r="B56" s="11" t="s">
        <v>181</v>
      </c>
      <c r="C56" s="90">
        <f t="shared" si="12"/>
        <v>1</v>
      </c>
      <c r="D56" s="90">
        <f t="shared" si="12"/>
        <v>1</v>
      </c>
      <c r="E56" s="90">
        <f t="shared" si="12"/>
        <v>1</v>
      </c>
      <c r="F56" s="90">
        <f t="shared" si="12"/>
        <v>1</v>
      </c>
      <c r="G56" s="90">
        <f t="shared" si="12"/>
        <v>1</v>
      </c>
      <c r="H56" s="90">
        <f t="shared" si="14"/>
        <v>1</v>
      </c>
      <c r="I56" s="90">
        <f t="shared" si="14"/>
        <v>1</v>
      </c>
      <c r="J56" s="90">
        <f t="shared" si="14"/>
        <v>1</v>
      </c>
      <c r="K56" s="90">
        <f t="shared" si="14"/>
        <v>1</v>
      </c>
      <c r="L56" s="90">
        <v>0.93</v>
      </c>
      <c r="M56" s="90">
        <v>0.93</v>
      </c>
      <c r="N56" s="90">
        <v>0.93</v>
      </c>
      <c r="O56" s="90">
        <v>0.93</v>
      </c>
    </row>
    <row r="57" spans="1:15" x14ac:dyDescent="0.25">
      <c r="B57" s="5" t="s">
        <v>184</v>
      </c>
      <c r="C57" s="90">
        <f>IF(C11=1,1,C11*1.05)</f>
        <v>1</v>
      </c>
      <c r="D57" s="90">
        <f>IF(D11=1,1,D11*1.05)</f>
        <v>1</v>
      </c>
      <c r="E57" s="90">
        <v>0.77</v>
      </c>
      <c r="F57" s="90">
        <v>0.77</v>
      </c>
      <c r="G57" s="90">
        <f>IF(G11=1,1,G11*1.05)</f>
        <v>1</v>
      </c>
      <c r="H57" s="90">
        <f t="shared" si="14"/>
        <v>1</v>
      </c>
      <c r="I57" s="90">
        <f t="shared" si="14"/>
        <v>1</v>
      </c>
      <c r="J57" s="90">
        <f t="shared" si="14"/>
        <v>1</v>
      </c>
      <c r="K57" s="90">
        <f t="shared" si="14"/>
        <v>1</v>
      </c>
      <c r="L57" s="90">
        <f>IF(L11=1,1,L11*1.05)</f>
        <v>1</v>
      </c>
      <c r="M57" s="90">
        <f>IF(M11=1,1,M11*1.05)</f>
        <v>1</v>
      </c>
      <c r="N57" s="90">
        <f>IF(N11=1,1,N11*1.05)</f>
        <v>1</v>
      </c>
      <c r="O57" s="90">
        <f>IF(O11=1,1,O11*1.05)</f>
        <v>1</v>
      </c>
    </row>
    <row r="58" spans="1:15" x14ac:dyDescent="0.25">
      <c r="B58" s="11" t="s">
        <v>185</v>
      </c>
      <c r="C58" s="90">
        <v>0.93</v>
      </c>
      <c r="D58" s="90">
        <v>0.93</v>
      </c>
      <c r="E58" s="90">
        <v>0.93</v>
      </c>
      <c r="F58" s="90">
        <v>0.93</v>
      </c>
      <c r="G58" s="90">
        <v>0.93</v>
      </c>
      <c r="H58" s="90">
        <v>0.93</v>
      </c>
      <c r="I58" s="90">
        <v>0.93</v>
      </c>
      <c r="J58" s="90">
        <v>0.93</v>
      </c>
      <c r="K58" s="90">
        <v>0.93</v>
      </c>
      <c r="L58" s="90">
        <v>0.93</v>
      </c>
      <c r="M58" s="90">
        <v>0.93</v>
      </c>
      <c r="N58" s="90">
        <v>0.93</v>
      </c>
      <c r="O58" s="90">
        <v>0.93</v>
      </c>
    </row>
    <row r="59" spans="1:15" x14ac:dyDescent="0.25">
      <c r="B59" s="11" t="s">
        <v>188</v>
      </c>
      <c r="C59" s="90">
        <f t="shared" ref="C59:D61" si="15">IF(C13=1,1,C13*1.05)</f>
        <v>1</v>
      </c>
      <c r="D59" s="90">
        <f t="shared" si="15"/>
        <v>1</v>
      </c>
      <c r="E59" s="90">
        <v>0.77</v>
      </c>
      <c r="F59" s="90">
        <v>0.77</v>
      </c>
      <c r="G59" s="90">
        <v>0.77</v>
      </c>
      <c r="H59" s="90">
        <f t="shared" ref="H59:O59" si="16">IF(H13=1,1,H13*1.05)</f>
        <v>1</v>
      </c>
      <c r="I59" s="90">
        <f t="shared" si="16"/>
        <v>1</v>
      </c>
      <c r="J59" s="90">
        <f t="shared" si="16"/>
        <v>1</v>
      </c>
      <c r="K59" s="90">
        <f t="shared" si="16"/>
        <v>1</v>
      </c>
      <c r="L59" s="90">
        <f t="shared" si="16"/>
        <v>1</v>
      </c>
      <c r="M59" s="90">
        <f t="shared" si="16"/>
        <v>1</v>
      </c>
      <c r="N59" s="90">
        <f t="shared" si="16"/>
        <v>1</v>
      </c>
      <c r="O59" s="90">
        <f t="shared" si="16"/>
        <v>1</v>
      </c>
    </row>
    <row r="60" spans="1:15" x14ac:dyDescent="0.25">
      <c r="B60" s="11" t="s">
        <v>189</v>
      </c>
      <c r="C60" s="90">
        <f t="shared" si="15"/>
        <v>1</v>
      </c>
      <c r="D60" s="90">
        <f t="shared" si="15"/>
        <v>1</v>
      </c>
      <c r="E60" s="90">
        <f t="shared" ref="E60:K60" si="17">IF(E14=1,1,E14*1.05)</f>
        <v>1</v>
      </c>
      <c r="F60" s="90">
        <f t="shared" si="17"/>
        <v>1</v>
      </c>
      <c r="G60" s="90">
        <f t="shared" si="17"/>
        <v>1</v>
      </c>
      <c r="H60" s="90">
        <f t="shared" si="17"/>
        <v>1</v>
      </c>
      <c r="I60" s="90">
        <f t="shared" si="17"/>
        <v>1</v>
      </c>
      <c r="J60" s="90">
        <f t="shared" si="17"/>
        <v>1</v>
      </c>
      <c r="K60" s="90">
        <f t="shared" si="17"/>
        <v>1</v>
      </c>
      <c r="L60" s="90">
        <f>L54</f>
        <v>0.7</v>
      </c>
      <c r="M60" s="90">
        <f>M54</f>
        <v>0.7</v>
      </c>
      <c r="N60" s="90">
        <f>N54</f>
        <v>0.7</v>
      </c>
      <c r="O60" s="90">
        <f>O54</f>
        <v>0.7</v>
      </c>
    </row>
    <row r="61" spans="1:15" x14ac:dyDescent="0.25">
      <c r="B61" s="5" t="s">
        <v>192</v>
      </c>
      <c r="C61" s="90">
        <f t="shared" si="15"/>
        <v>1</v>
      </c>
      <c r="D61" s="90">
        <f t="shared" si="15"/>
        <v>1</v>
      </c>
      <c r="E61" s="90">
        <v>0.44</v>
      </c>
      <c r="F61" s="90">
        <v>0.44</v>
      </c>
      <c r="G61" s="90">
        <f t="shared" ref="G61:O61" si="18">IF(G15=1,1,G15*1.05)</f>
        <v>1</v>
      </c>
      <c r="H61" s="90">
        <f t="shared" si="18"/>
        <v>1</v>
      </c>
      <c r="I61" s="90">
        <f t="shared" si="18"/>
        <v>1</v>
      </c>
      <c r="J61" s="90">
        <f t="shared" si="18"/>
        <v>1</v>
      </c>
      <c r="K61" s="90">
        <f t="shared" si="18"/>
        <v>1</v>
      </c>
      <c r="L61" s="90">
        <f t="shared" si="18"/>
        <v>1</v>
      </c>
      <c r="M61" s="90">
        <f t="shared" si="18"/>
        <v>1</v>
      </c>
      <c r="N61" s="90">
        <f t="shared" si="18"/>
        <v>1</v>
      </c>
      <c r="O61" s="90">
        <f t="shared" si="18"/>
        <v>1</v>
      </c>
    </row>
    <row r="63" spans="1:15" ht="13" customHeight="1" x14ac:dyDescent="0.3">
      <c r="A63" s="4" t="s">
        <v>327</v>
      </c>
      <c r="B63" s="11"/>
    </row>
    <row r="64" spans="1:15" x14ac:dyDescent="0.25">
      <c r="B64" s="5" t="s">
        <v>172</v>
      </c>
      <c r="C64" s="90">
        <f t="shared" ref="C64:O64" si="19">IF(C18=1,1,C18*1.05)</f>
        <v>1</v>
      </c>
      <c r="D64" s="90">
        <f t="shared" si="19"/>
        <v>1</v>
      </c>
      <c r="E64" s="90">
        <f t="shared" si="19"/>
        <v>1</v>
      </c>
      <c r="F64" s="90">
        <f t="shared" si="19"/>
        <v>1</v>
      </c>
      <c r="G64" s="90">
        <f t="shared" si="19"/>
        <v>1</v>
      </c>
      <c r="H64" s="90">
        <f t="shared" si="19"/>
        <v>1</v>
      </c>
      <c r="I64" s="90">
        <f t="shared" si="19"/>
        <v>1</v>
      </c>
      <c r="J64" s="90">
        <f t="shared" si="19"/>
        <v>1</v>
      </c>
      <c r="K64" s="90">
        <f t="shared" si="19"/>
        <v>1</v>
      </c>
      <c r="L64" s="90">
        <f t="shared" si="19"/>
        <v>1</v>
      </c>
      <c r="M64" s="90">
        <f t="shared" si="19"/>
        <v>1</v>
      </c>
      <c r="N64" s="90">
        <f t="shared" si="19"/>
        <v>1</v>
      </c>
      <c r="O64" s="90">
        <f t="shared" si="19"/>
        <v>1</v>
      </c>
    </row>
    <row r="65" spans="2:15" x14ac:dyDescent="0.25">
      <c r="B65" s="5" t="s">
        <v>173</v>
      </c>
      <c r="C65" s="90">
        <f t="shared" ref="C65:D67" si="20">IF(C19=1,1,C19*1.05)</f>
        <v>1</v>
      </c>
      <c r="D65" s="90">
        <f t="shared" si="20"/>
        <v>1</v>
      </c>
      <c r="E65" s="90">
        <f>IF(ISBLANK('Nutritional status distribution'!E$14),0.97,(0.97*'Nutritional status distribution'!E$14/(1-0.97*'Nutritional status distribution'!E$14))
/ ('Nutritional status distribution'!E$14/(1-'Nutritional status distribution'!E$14)))</f>
        <v>0.93522964446077694</v>
      </c>
      <c r="F65" s="90">
        <f>IF(ISBLANK('Nutritional status distribution'!F$14),0.97,(0.97*'Nutritional status distribution'!F$14/(1-0.97*'Nutritional status distribution'!F$14))
/ ('Nutritional status distribution'!F$14/(1-'Nutritional status distribution'!F$14)))</f>
        <v>0.95356683069273362</v>
      </c>
      <c r="G65" s="90">
        <f>IF(ISBLANK('Nutritional status distribution'!G$14),0.97,(0.97*'Nutritional status distribution'!G$14/(1-0.97*'Nutritional status distribution'!G$14))
/ ('Nutritional status distribution'!G$14/(1-'Nutritional status distribution'!G$14)))</f>
        <v>0.95356683069273362</v>
      </c>
      <c r="H65" s="90">
        <f>IF(ISBLANK('Nutritional status distribution'!H$14),0.97,(0.97*'Nutritional status distribution'!H$14/(1-0.97*'Nutritional status distribution'!H$14))
/ ('Nutritional status distribution'!H$14/(1-'Nutritional status distribution'!H$14)))</f>
        <v>0.95174521473379459</v>
      </c>
      <c r="I65" s="90">
        <f>IF(ISBLANK('Nutritional status distribution'!I$14),0.97,(0.97*'Nutritional status distribution'!I$14/(1-0.97*'Nutritional status distribution'!I$14))
/ ('Nutritional status distribution'!I$14/(1-'Nutritional status distribution'!I$14)))</f>
        <v>0.95174521473379459</v>
      </c>
      <c r="J65" s="90">
        <f>IF(ISBLANK('Nutritional status distribution'!J$14),0.97,(0.97*'Nutritional status distribution'!J$14/(1-0.97*'Nutritional status distribution'!J$14))
/ ('Nutritional status distribution'!J$14/(1-'Nutritional status distribution'!J$14)))</f>
        <v>0.95174521473379459</v>
      </c>
      <c r="K65" s="90">
        <f>IF(ISBLANK('Nutritional status distribution'!K$14),0.97,(0.97*'Nutritional status distribution'!K$14/(1-0.97*'Nutritional status distribution'!K$14))
/ ('Nutritional status distribution'!K$14/(1-'Nutritional status distribution'!K$14)))</f>
        <v>0.95174521473379459</v>
      </c>
      <c r="L65" s="90">
        <f>IF(ISBLANK('Nutritional status distribution'!L$14),0.97,(0.97*'Nutritional status distribution'!L$14/(1-0.97*'Nutritional status distribution'!L$14))
/ ('Nutritional status distribution'!L$14/(1-'Nutritional status distribution'!L$14)))</f>
        <v>0.95733667055376981</v>
      </c>
      <c r="M65" s="90">
        <f>IF(ISBLANK('Nutritional status distribution'!M$14),0.97,(0.97*'Nutritional status distribution'!M$14/(1-0.97*'Nutritional status distribution'!M$14))
/ ('Nutritional status distribution'!M$14/(1-'Nutritional status distribution'!M$14)))</f>
        <v>0.95733667055376981</v>
      </c>
      <c r="N65" s="90">
        <f>IF(ISBLANK('Nutritional status distribution'!N$14),0.97,(0.97*'Nutritional status distribution'!N$14/(1-0.97*'Nutritional status distribution'!N$14))
/ ('Nutritional status distribution'!N$14/(1-'Nutritional status distribution'!N$14)))</f>
        <v>0.95733667055376981</v>
      </c>
      <c r="O65" s="90">
        <f>IF(ISBLANK('Nutritional status distribution'!O$14),0.97,(0.97*'Nutritional status distribution'!O$14/(1-0.97*'Nutritional status distribution'!O$14))
/ ('Nutritional status distribution'!O$14/(1-'Nutritional status distribution'!O$14)))</f>
        <v>0.95733667055376981</v>
      </c>
    </row>
    <row r="66" spans="2:15" x14ac:dyDescent="0.25">
      <c r="B66" s="5" t="s">
        <v>174</v>
      </c>
      <c r="C66" s="90">
        <f t="shared" si="20"/>
        <v>1</v>
      </c>
      <c r="D66" s="90">
        <f t="shared" si="20"/>
        <v>1</v>
      </c>
      <c r="E66" s="90">
        <f t="shared" ref="E66:O66" si="21">IF(E20=1,1,E20*1.05)</f>
        <v>1</v>
      </c>
      <c r="F66" s="90">
        <f t="shared" si="21"/>
        <v>1</v>
      </c>
      <c r="G66" s="90">
        <f t="shared" si="21"/>
        <v>1</v>
      </c>
      <c r="H66" s="90">
        <f t="shared" si="21"/>
        <v>1</v>
      </c>
      <c r="I66" s="90">
        <f t="shared" si="21"/>
        <v>1</v>
      </c>
      <c r="J66" s="90">
        <f t="shared" si="21"/>
        <v>1</v>
      </c>
      <c r="K66" s="90">
        <f t="shared" si="21"/>
        <v>1</v>
      </c>
      <c r="L66" s="90">
        <f t="shared" si="21"/>
        <v>1</v>
      </c>
      <c r="M66" s="90">
        <f t="shared" si="21"/>
        <v>1</v>
      </c>
      <c r="N66" s="90">
        <f t="shared" si="21"/>
        <v>1</v>
      </c>
      <c r="O66" s="90">
        <f t="shared" si="21"/>
        <v>1</v>
      </c>
    </row>
    <row r="67" spans="2:15" x14ac:dyDescent="0.25">
      <c r="B67" s="5" t="s">
        <v>182</v>
      </c>
      <c r="C67" s="90">
        <f t="shared" si="20"/>
        <v>1</v>
      </c>
      <c r="D67" s="90">
        <f t="shared" si="20"/>
        <v>1</v>
      </c>
      <c r="E67" s="90">
        <f>IF(ISBLANK('Nutritional status distribution'!E$14),0.92,(0.92*'Nutritional status distribution'!E$14/(1-0.92*'Nutritional status distribution'!E$14))
/ ('Nutritional status distribution'!E$14/(1-'Nutritional status distribution'!E$14)))</f>
        <v>0.83701617483059887</v>
      </c>
      <c r="F67" s="90">
        <f>IF(ISBLANK('Nutritional status distribution'!F$14),0.92,(0.92*'Nutritional status distribution'!F$14/(1-0.92*'Nutritional status distribution'!F$14))
/ ('Nutritional status distribution'!F$14/(1-'Nutritional status distribution'!F$14)))</f>
        <v>0.87957840163121759</v>
      </c>
      <c r="G67" s="90">
        <f>IF(ISBLANK('Nutritional status distribution'!G$14),0.92,(0.92*'Nutritional status distribution'!G$14/(1-0.92*'Nutritional status distribution'!G$14))
/ ('Nutritional status distribution'!G$14/(1-'Nutritional status distribution'!G$14)))</f>
        <v>0.87957840163121759</v>
      </c>
      <c r="H67" s="90">
        <f>IF(ISBLANK('Nutritional status distribution'!H$14),0.92,(0.92*'Nutritional status distribution'!H$14/(1-0.92*'Nutritional status distribution'!H$14))
/ ('Nutritional status distribution'!H$14/(1-'Nutritional status distribution'!H$14)))</f>
        <v>0.87523393636930746</v>
      </c>
      <c r="I67" s="90">
        <f>IF(ISBLANK('Nutritional status distribution'!I$14),0.92,(0.92*'Nutritional status distribution'!I$14/(1-0.92*'Nutritional status distribution'!I$14))
/ ('Nutritional status distribution'!I$14/(1-'Nutritional status distribution'!I$14)))</f>
        <v>0.87523393636930746</v>
      </c>
      <c r="J67" s="90">
        <f>IF(ISBLANK('Nutritional status distribution'!J$14),0.92,(0.92*'Nutritional status distribution'!J$14/(1-0.92*'Nutritional status distribution'!J$14))
/ ('Nutritional status distribution'!J$14/(1-'Nutritional status distribution'!J$14)))</f>
        <v>0.87523393636930746</v>
      </c>
      <c r="K67" s="90">
        <f>IF(ISBLANK('Nutritional status distribution'!K$14),0.92,(0.92*'Nutritional status distribution'!K$14/(1-0.92*'Nutritional status distribution'!K$14))
/ ('Nutritional status distribution'!K$14/(1-'Nutritional status distribution'!K$14)))</f>
        <v>0.87523393636930746</v>
      </c>
      <c r="L67" s="90">
        <f>IF(ISBLANK('Nutritional status distribution'!L$14),0.92,(0.92*'Nutritional status distribution'!L$14/(1-0.92*'Nutritional status distribution'!L$14))
/ ('Nutritional status distribution'!L$14/(1-'Nutritional status distribution'!L$14)))</f>
        <v>0.88865382474112009</v>
      </c>
      <c r="M67" s="90">
        <f>IF(ISBLANK('Nutritional status distribution'!M$14),0.92,(0.92*'Nutritional status distribution'!M$14/(1-0.92*'Nutritional status distribution'!M$14))
/ ('Nutritional status distribution'!M$14/(1-'Nutritional status distribution'!M$14)))</f>
        <v>0.88865382474112009</v>
      </c>
      <c r="N67" s="90">
        <f>IF(ISBLANK('Nutritional status distribution'!N$14),0.92,(0.92*'Nutritional status distribution'!N$14/(1-0.92*'Nutritional status distribution'!N$14))
/ ('Nutritional status distribution'!N$14/(1-'Nutritional status distribution'!N$14)))</f>
        <v>0.88865382474112009</v>
      </c>
      <c r="O67" s="90">
        <f>IF(ISBLANK('Nutritional status distribution'!O$14),0.92,(0.92*'Nutritional status distribution'!O$14/(1-0.92*'Nutritional status distribution'!O$14))
/ ('Nutritional status distribution'!O$14/(1-'Nutritional status distribution'!O$14)))</f>
        <v>0.88865382474112009</v>
      </c>
    </row>
  </sheetData>
  <sheetProtection algorithmName="SHA-512" hashValue="QTNrTNcX0LQnvnw9OcFIuF8iiKsb7nBsadUCrO1kCxqB4CvEkER3v8YCwNBmR8txM/1IAuOQ/zC/vA8HLWjOhA==" saltValue="f5+QlQPEjGE24L/HhPaCM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E28" sqref="E28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ht="13" customHeight="1" x14ac:dyDescent="0.3">
      <c r="A2" s="4" t="s">
        <v>328</v>
      </c>
    </row>
    <row r="3" spans="1:7" ht="13.25" customHeight="1" x14ac:dyDescent="0.25">
      <c r="B3" s="11" t="s">
        <v>157</v>
      </c>
      <c r="C3" s="90">
        <v>1</v>
      </c>
      <c r="D3" s="90">
        <f>IF(ISBLANK('Nutritional status distribution'!D$11),(1/1.33),((1/1.33)*'Nutritional status distribution'!D$11/(1-(1/1.33)*'Nutritional status distribution'!D$11))
/ ('Nutritional status distribution'!D$11/(1-'Nutritional status distribution'!D$11)))</f>
        <v>0.74170348707360212</v>
      </c>
      <c r="E3" s="90">
        <f>IF(ISBLANK('Nutritional status distribution'!E$11),(1/1.33),((1/1.33)*'Nutritional status distribution'!E$11/(1-(1/1.33)*'Nutritional status distribution'!E$11))
/ ('Nutritional status distribution'!E$11/(1-'Nutritional status distribution'!E$11)))</f>
        <v>0.7440491335337196</v>
      </c>
      <c r="F3" s="90">
        <f>IF(ISBLANK('Nutritional status distribution'!F$11),(1/1.33),((1/1.33)*'Nutritional status distribution'!F$11/(1-(1/1.33)*'Nutritional status distribution'!F$11))
/ ('Nutritional status distribution'!F$11/(1-'Nutritional status distribution'!F$11)))</f>
        <v>0.745353877631726</v>
      </c>
      <c r="G3" s="90">
        <f>IF(ISBLANK('Nutritional status distribution'!G$11),(1/1.33),((1/1.33)*'Nutritional status distribution'!G$11/(1-(1/1.33)*'Nutritional status distribution'!G$11))
/ ('Nutritional status distribution'!G$11/(1-'Nutritional status distribution'!G$11)))</f>
        <v>0.74788018795272793</v>
      </c>
    </row>
    <row r="4" spans="1:7" ht="13" customHeight="1" x14ac:dyDescent="0.3">
      <c r="A4" s="4" t="s">
        <v>329</v>
      </c>
      <c r="B4" s="11"/>
      <c r="C4" s="83"/>
      <c r="D4" s="83"/>
      <c r="E4" s="83"/>
      <c r="F4" s="83"/>
      <c r="G4" s="83"/>
    </row>
    <row r="5" spans="1:7" ht="13.25" customHeight="1" x14ac:dyDescent="0.25">
      <c r="B5" s="5" t="s">
        <v>158</v>
      </c>
      <c r="C5" s="90">
        <v>1</v>
      </c>
      <c r="D5" s="90">
        <f>IF(ISBLANK('Nutritional status distribution'!D$10),(1/1.33),((1/1.33)*'Nutritional status distribution'!D$10/(1-(1/1.33)*'Nutritional status distribution'!D$10))
/ ('Nutritional status distribution'!D$10/(1-'Nutritional status distribution'!D$10)))</f>
        <v>0.73527725982053405</v>
      </c>
      <c r="E5" s="90">
        <f>IF(ISBLANK('Nutritional status distribution'!E$10),(1/1.33),((1/1.33)*'Nutritional status distribution'!E$10/(1-(1/1.33)*'Nutritional status distribution'!E$10))
/ ('Nutritional status distribution'!E$10/(1-'Nutritional status distribution'!E$10)))</f>
        <v>0.73440883160208181</v>
      </c>
      <c r="F5" s="90">
        <f>IF(ISBLANK('Nutritional status distribution'!F$10),(1/1.33),((1/1.33)*'Nutritional status distribution'!F$10/(1-(1/1.33)*'Nutritional status distribution'!F$10))
/ ('Nutritional status distribution'!F$10/(1-'Nutritional status distribution'!F$10)))</f>
        <v>0.73499814803082997</v>
      </c>
      <c r="G5" s="90">
        <f>IF(ISBLANK('Nutritional status distribution'!G$10),(1/1.33),((1/1.33)*'Nutritional status distribution'!G$10/(1-(1/1.33)*'Nutritional status distribution'!G$10))
/ ('Nutritional status distribution'!G$10/(1-'Nutritional status distribution'!G$10)))</f>
        <v>0.73961104081900531</v>
      </c>
    </row>
    <row r="7" spans="1:7" s="92" customFormat="1" ht="13" customHeight="1" x14ac:dyDescent="0.3">
      <c r="A7" s="92" t="s">
        <v>330</v>
      </c>
    </row>
    <row r="8" spans="1:7" ht="13" customHeight="1" x14ac:dyDescent="0.3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ht="13" customHeight="1" x14ac:dyDescent="0.3">
      <c r="A9" s="4" t="s">
        <v>331</v>
      </c>
    </row>
    <row r="10" spans="1:7" ht="13.25" customHeight="1" x14ac:dyDescent="0.25">
      <c r="B10" s="11" t="s">
        <v>157</v>
      </c>
      <c r="C10" s="90">
        <v>1</v>
      </c>
      <c r="D10" s="90">
        <f>IF(ISBLANK('Nutritional status distribution'!D$11),(1/1.54),((1/1.54)*'Nutritional status distribution'!D$11/(1-(1/1.54)*'Nutritional status distribution'!D$11))
/ ('Nutritional status distribution'!D$11/(1-'Nutritional status distribution'!D$11)))</f>
        <v>0.63699954768152778</v>
      </c>
      <c r="E10" s="90">
        <f>IF(ISBLANK('Nutritional status distribution'!E$11),(1/1.54),((1/1.54)*'Nutritional status distribution'!E$11/(1-(1/1.54)*'Nutritional status distribution'!E$11))
/ ('Nutritional status distribution'!E$11/(1-'Nutritional status distribution'!E$11)))</f>
        <v>0.6398343128608831</v>
      </c>
      <c r="F10" s="90">
        <f>IF(ISBLANK('Nutritional status distribution'!F$11),(1/1.54),((1/1.54)*'Nutritional status distribution'!F$11/(1-(1/1.54)*'Nutritional status distribution'!F$11))
/ ('Nutritional status distribution'!F$11/(1-'Nutritional status distribution'!F$11)))</f>
        <v>0.64141427681702268</v>
      </c>
      <c r="G10" s="90">
        <f>IF(ISBLANK('Nutritional status distribution'!G$11),(1/1.54),((1/1.54)*'Nutritional status distribution'!G$11/(1-(1/1.54)*'Nutritional status distribution'!G$11))
/ ('Nutritional status distribution'!G$11/(1-'Nutritional status distribution'!G$11)))</f>
        <v>0.64447990851450587</v>
      </c>
    </row>
    <row r="11" spans="1:7" ht="13" customHeight="1" x14ac:dyDescent="0.3">
      <c r="A11" s="4" t="s">
        <v>332</v>
      </c>
      <c r="B11" s="11"/>
      <c r="C11" s="83"/>
      <c r="D11" s="83"/>
      <c r="E11" s="83"/>
      <c r="F11" s="83"/>
      <c r="G11" s="83"/>
    </row>
    <row r="12" spans="1:7" ht="13.25" customHeight="1" x14ac:dyDescent="0.25">
      <c r="B12" s="5" t="s">
        <v>158</v>
      </c>
      <c r="C12" s="90">
        <v>1</v>
      </c>
      <c r="D12" s="90">
        <f>IF(ISBLANK('Nutritional status distribution'!D$10),(1/1.54),((1/1.54)*'Nutritional status distribution'!D$10/(1-(1/1.54)*'Nutritional status distribution'!D$10))
/ ('Nutritional status distribution'!D$10/(1-'Nutritional status distribution'!D$10)))</f>
        <v>0.62927041290066987</v>
      </c>
      <c r="E12" s="90">
        <f>IF(ISBLANK('Nutritional status distribution'!E$10),(1/1.54),((1/1.54)*'Nutritional status distribution'!E$10/(1-(1/1.54)*'Nutritional status distribution'!E$10))
/ ('Nutritional status distribution'!E$10/(1-'Nutritional status distribution'!E$10)))</f>
        <v>0.62823005984573166</v>
      </c>
      <c r="F12" s="90">
        <f>IF(ISBLANK('Nutritional status distribution'!F$10),(1/1.54),((1/1.54)*'Nutritional status distribution'!F$10/(1-(1/1.54)*'Nutritional status distribution'!F$10))
/ ('Nutritional status distribution'!F$10/(1-'Nutritional status distribution'!F$10)))</f>
        <v>0.62893593737451348</v>
      </c>
      <c r="G12" s="90">
        <f>IF(ISBLANK('Nutritional status distribution'!G$10),(1/1.54),((1/1.54)*'Nutritional status distribution'!G$10/(1-(1/1.54)*'Nutritional status distribution'!G$10))
/ ('Nutritional status distribution'!G$10/(1-'Nutritional status distribution'!G$10)))</f>
        <v>0.63447690715147409</v>
      </c>
    </row>
    <row r="14" spans="1:7" s="92" customFormat="1" ht="13" customHeight="1" x14ac:dyDescent="0.3">
      <c r="A14" s="92" t="s">
        <v>333</v>
      </c>
    </row>
    <row r="15" spans="1:7" ht="13" customHeight="1" x14ac:dyDescent="0.3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ht="13" customHeight="1" x14ac:dyDescent="0.3">
      <c r="A16" s="4" t="s">
        <v>334</v>
      </c>
    </row>
    <row r="17" spans="1:7" ht="13.25" customHeight="1" x14ac:dyDescent="0.25">
      <c r="B17" s="11" t="s">
        <v>157</v>
      </c>
      <c r="C17" s="90">
        <v>1</v>
      </c>
      <c r="D17" s="90">
        <f>IF(ISBLANK('Nutritional status distribution'!D$11),(1/1.16),((1/1.16)*'Nutritional status distribution'!D$11/(1-(1/1.16)*'Nutritional status distribution'!D$11))
/ ('Nutritional status distribution'!D$11/(1-'Nutritional status distribution'!D$11)))</f>
        <v>0.85554370690879356</v>
      </c>
      <c r="E17" s="90">
        <f>IF(ISBLANK('Nutritional status distribution'!E$11),(1/1.16),((1/1.16)*'Nutritional status distribution'!E$11/(1-(1/1.16)*'Nutritional status distribution'!E$11))
/ ('Nutritional status distribution'!E$11/(1-'Nutritional status distribution'!E$11)))</f>
        <v>0.85705478687511005</v>
      </c>
      <c r="F17" s="90">
        <f>IF(ISBLANK('Nutritional status distribution'!F$11),(1/1.16),((1/1.16)*'Nutritional status distribution'!F$11/(1-(1/1.16)*'Nutritional status distribution'!F$11))
/ ('Nutritional status distribution'!F$11/(1-'Nutritional status distribution'!F$11)))</f>
        <v>0.85789349183517105</v>
      </c>
      <c r="G17" s="90">
        <f>IF(ISBLANK('Nutritional status distribution'!G$11),(1/1.16),((1/1.16)*'Nutritional status distribution'!G$11/(1-(1/1.16)*'Nutritional status distribution'!G$11))
/ ('Nutritional status distribution'!G$11/(1-'Nutritional status distribution'!G$11)))</f>
        <v>0.85951375066778668</v>
      </c>
    </row>
    <row r="18" spans="1:7" ht="13" customHeight="1" x14ac:dyDescent="0.3">
      <c r="A18" s="4" t="s">
        <v>335</v>
      </c>
      <c r="B18" s="11"/>
      <c r="C18" s="83"/>
      <c r="D18" s="83"/>
      <c r="E18" s="83"/>
      <c r="F18" s="83"/>
      <c r="G18" s="83"/>
    </row>
    <row r="19" spans="1:7" ht="13.25" customHeight="1" x14ac:dyDescent="0.25">
      <c r="B19" s="5" t="s">
        <v>158</v>
      </c>
      <c r="C19" s="90">
        <v>1</v>
      </c>
      <c r="D19" s="90">
        <f>IF(ISBLANK('Nutritional status distribution'!D$10),(1/1.16),((1/1.16)*'Nutritional status distribution'!D$10/(1-(1/1.16)*'Nutritional status distribution'!D$10))
/ ('Nutritional status distribution'!D$10/(1-'Nutritional status distribution'!D$10)))</f>
        <v>0.85138223037876182</v>
      </c>
      <c r="E19" s="90">
        <f>IF(ISBLANK('Nutritional status distribution'!E$10),(1/1.16),((1/1.16)*'Nutritional status distribution'!E$10/(1-(1/1.16)*'Nutritional status distribution'!E$10))
/ ('Nutritional status distribution'!E$10/(1-'Nutritional status distribution'!E$10)))</f>
        <v>0.85081740800339978</v>
      </c>
      <c r="F19" s="90">
        <f>IF(ISBLANK('Nutritional status distribution'!F$10),(1/1.16),((1/1.16)*'Nutritional status distribution'!F$10/(1-(1/1.16)*'Nutritional status distribution'!F$10))
/ ('Nutritional status distribution'!F$10/(1-'Nutritional status distribution'!F$10)))</f>
        <v>0.85120076096774988</v>
      </c>
      <c r="G19" s="90">
        <f>IF(ISBLANK('Nutritional status distribution'!G$10),(1/1.16),((1/1.16)*'Nutritional status distribution'!G$10/(1-(1/1.16)*'Nutritional status distribution'!G$10))
/ ('Nutritional status distribution'!G$10/(1-'Nutritional status distribution'!G$10)))</f>
        <v>0.85419218079688974</v>
      </c>
    </row>
  </sheetData>
  <sheetProtection algorithmName="SHA-512" hashValue="ZIjv20oIFeX8hEAP3JXu7+FjYQdIWvRgXIH4IkxRsMm14MAW5JMg2x9QOPJ7rc+IAMFEDvKO0XCydnz4Atw3VA==" saltValue="eIHIWivrA2mRyU/FI0KAAQ==" spinCount="100000" sheet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80" zoomScaleNormal="80" workbookViewId="0">
      <selection activeCell="E28" sqref="E28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156</v>
      </c>
      <c r="B1" s="4" t="s">
        <v>336</v>
      </c>
      <c r="C1" s="82" t="s">
        <v>337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ht="13.25" customHeight="1" x14ac:dyDescent="0.25">
      <c r="A2" s="5" t="s">
        <v>193</v>
      </c>
      <c r="B2" s="5" t="s">
        <v>81</v>
      </c>
      <c r="C2" s="5" t="s">
        <v>338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ht="13.25" customHeight="1" x14ac:dyDescent="0.25">
      <c r="C3" s="5" t="s">
        <v>339</v>
      </c>
      <c r="D3" s="90">
        <v>0</v>
      </c>
      <c r="E3" s="90">
        <v>0</v>
      </c>
      <c r="F3" s="90">
        <v>0.12</v>
      </c>
      <c r="G3" s="90">
        <v>0.12</v>
      </c>
      <c r="H3" s="90">
        <v>0.12</v>
      </c>
    </row>
    <row r="4" spans="1:8" ht="13.25" customHeight="1" x14ac:dyDescent="0.25">
      <c r="C4" s="5" t="s">
        <v>340</v>
      </c>
      <c r="D4" s="90">
        <v>0</v>
      </c>
      <c r="E4" s="90">
        <v>0</v>
      </c>
      <c r="F4" s="90">
        <v>0.15</v>
      </c>
      <c r="G4" s="90">
        <v>0.15</v>
      </c>
      <c r="H4" s="90">
        <v>0.15</v>
      </c>
    </row>
    <row r="5" spans="1:8" ht="13.25" customHeight="1" x14ac:dyDescent="0.25">
      <c r="A5" s="5" t="s">
        <v>191</v>
      </c>
      <c r="B5" s="5" t="s">
        <v>205</v>
      </c>
      <c r="C5" s="5" t="s">
        <v>338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ht="13.25" customHeight="1" x14ac:dyDescent="0.25">
      <c r="C6" s="5" t="s">
        <v>340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ht="13.25" customHeight="1" x14ac:dyDescent="0.25">
      <c r="B7" s="5" t="s">
        <v>204</v>
      </c>
      <c r="C7" s="5" t="s">
        <v>338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ht="13.25" customHeight="1" x14ac:dyDescent="0.25">
      <c r="C8" s="5" t="s">
        <v>340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ht="13.25" customHeight="1" x14ac:dyDescent="0.25">
      <c r="A9" s="5" t="s">
        <v>184</v>
      </c>
      <c r="B9" s="5" t="s">
        <v>205</v>
      </c>
      <c r="C9" s="5" t="s">
        <v>338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ht="13.25" customHeight="1" x14ac:dyDescent="0.25">
      <c r="C10" s="5" t="s">
        <v>340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ht="13.25" customHeight="1" x14ac:dyDescent="0.25">
      <c r="B11" s="5" t="s">
        <v>204</v>
      </c>
      <c r="C11" s="5" t="s">
        <v>338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ht="13.25" customHeight="1" x14ac:dyDescent="0.25">
      <c r="C12" s="5" t="s">
        <v>340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ht="13.25" customHeight="1" x14ac:dyDescent="0.25">
      <c r="A13" s="5" t="s">
        <v>192</v>
      </c>
      <c r="B13" s="5" t="s">
        <v>205</v>
      </c>
      <c r="C13" s="5" t="s">
        <v>338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ht="13.25" customHeight="1" x14ac:dyDescent="0.25">
      <c r="C14" s="5" t="s">
        <v>340</v>
      </c>
      <c r="D14" s="90">
        <v>0</v>
      </c>
      <c r="E14" s="90">
        <v>0</v>
      </c>
      <c r="F14" s="90">
        <v>0.31</v>
      </c>
      <c r="G14" s="90">
        <v>0.31</v>
      </c>
      <c r="H14" s="90">
        <v>0</v>
      </c>
    </row>
    <row r="15" spans="1:8" ht="13.25" customHeight="1" x14ac:dyDescent="0.25">
      <c r="B15" s="5" t="s">
        <v>204</v>
      </c>
      <c r="C15" s="5" t="s">
        <v>338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ht="13.25" customHeight="1" x14ac:dyDescent="0.25">
      <c r="C16" s="5" t="s">
        <v>340</v>
      </c>
      <c r="D16" s="90">
        <v>0</v>
      </c>
      <c r="E16" s="90">
        <v>0</v>
      </c>
      <c r="F16" s="90">
        <v>0.14000000000000001</v>
      </c>
      <c r="G16" s="90">
        <v>0.14000000000000001</v>
      </c>
      <c r="H16" s="90">
        <v>0</v>
      </c>
    </row>
    <row r="17" spans="1:8" ht="13.25" customHeight="1" x14ac:dyDescent="0.25">
      <c r="A17" s="5" t="s">
        <v>169</v>
      </c>
      <c r="B17" s="5" t="s">
        <v>205</v>
      </c>
      <c r="C17" s="5" t="s">
        <v>338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ht="13.25" customHeight="1" x14ac:dyDescent="0.25">
      <c r="C18" s="5" t="s">
        <v>340</v>
      </c>
      <c r="D18" s="90">
        <v>0</v>
      </c>
      <c r="E18" s="90">
        <v>0</v>
      </c>
      <c r="F18" s="90">
        <v>0.68</v>
      </c>
      <c r="G18" s="90">
        <v>0.68</v>
      </c>
      <c r="H18" s="90">
        <v>0.68</v>
      </c>
    </row>
    <row r="19" spans="1:8" ht="13.25" customHeight="1" x14ac:dyDescent="0.25">
      <c r="B19" s="5" t="s">
        <v>204</v>
      </c>
      <c r="C19" s="5" t="s">
        <v>338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ht="13.25" customHeight="1" x14ac:dyDescent="0.25">
      <c r="C20" s="5" t="s">
        <v>340</v>
      </c>
      <c r="D20" s="90">
        <v>0</v>
      </c>
      <c r="E20" s="90">
        <v>0</v>
      </c>
      <c r="F20" s="90">
        <v>0.6</v>
      </c>
      <c r="G20" s="90">
        <v>0.6</v>
      </c>
      <c r="H20" s="90">
        <v>0.6</v>
      </c>
    </row>
    <row r="21" spans="1:8" ht="13.25" customHeight="1" x14ac:dyDescent="0.25">
      <c r="A21" s="5" t="s">
        <v>174</v>
      </c>
      <c r="B21" s="5" t="s">
        <v>74</v>
      </c>
      <c r="C21" s="5" t="s">
        <v>338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ht="13.25" customHeight="1" x14ac:dyDescent="0.25">
      <c r="C22" s="5" t="s">
        <v>339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ht="13.25" customHeight="1" x14ac:dyDescent="0.25">
      <c r="A23" s="5" t="s">
        <v>172</v>
      </c>
      <c r="B23" s="5" t="s">
        <v>74</v>
      </c>
      <c r="C23" s="5" t="s">
        <v>338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ht="13.25" customHeight="1" x14ac:dyDescent="0.25">
      <c r="C24" s="5" t="s">
        <v>339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ht="13.25" customHeight="1" x14ac:dyDescent="0.25">
      <c r="A25" s="5" t="s">
        <v>173</v>
      </c>
      <c r="B25" s="5" t="s">
        <v>74</v>
      </c>
      <c r="C25" s="5" t="s">
        <v>338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ht="13.25" customHeight="1" x14ac:dyDescent="0.25">
      <c r="C26" s="5" t="s">
        <v>339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ht="13.25" customHeight="1" x14ac:dyDescent="0.25">
      <c r="A27" s="5" t="s">
        <v>197</v>
      </c>
      <c r="B27" s="5" t="s">
        <v>81</v>
      </c>
      <c r="C27" s="5" t="s">
        <v>338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ht="13.25" customHeight="1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ht="13.25" customHeight="1" x14ac:dyDescent="0.25">
      <c r="C29" s="5" t="s">
        <v>340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ht="13.25" customHeight="1" x14ac:dyDescent="0.25">
      <c r="A30" s="5" t="s">
        <v>198</v>
      </c>
      <c r="B30" s="5" t="s">
        <v>81</v>
      </c>
      <c r="C30" s="5" t="s">
        <v>338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ht="13.25" customHeight="1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ht="13.25" customHeight="1" x14ac:dyDescent="0.25">
      <c r="C32" s="5" t="s">
        <v>340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ht="13.25" customHeight="1" x14ac:dyDescent="0.25">
      <c r="A33" s="5" t="s">
        <v>196</v>
      </c>
      <c r="B33" s="5" t="s">
        <v>81</v>
      </c>
      <c r="C33" s="5" t="s">
        <v>338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ht="13.25" customHeight="1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ht="13.25" customHeight="1" x14ac:dyDescent="0.25">
      <c r="C35" s="5" t="s">
        <v>340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ht="13.25" customHeight="1" x14ac:dyDescent="0.25">
      <c r="A36" s="5" t="s">
        <v>195</v>
      </c>
      <c r="B36" s="5" t="s">
        <v>81</v>
      </c>
      <c r="C36" s="5" t="s">
        <v>338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ht="13.25" customHeight="1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ht="13.25" customHeight="1" x14ac:dyDescent="0.25">
      <c r="C38" s="5" t="s">
        <v>340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ht="13.25" customHeight="1" x14ac:dyDescent="0.25">
      <c r="A39" s="5" t="s">
        <v>194</v>
      </c>
      <c r="B39" s="5" t="s">
        <v>81</v>
      </c>
      <c r="C39" s="5" t="s">
        <v>338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ht="13.25" customHeight="1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ht="13.25" customHeight="1" x14ac:dyDescent="0.25">
      <c r="C41" s="5" t="s">
        <v>340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ht="13.25" customHeight="1" x14ac:dyDescent="0.25">
      <c r="A42" s="5" t="s">
        <v>200</v>
      </c>
      <c r="B42" s="5" t="s">
        <v>81</v>
      </c>
      <c r="C42" s="5" t="s">
        <v>338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ht="13.25" customHeight="1" x14ac:dyDescent="0.25">
      <c r="C43" s="5" t="s">
        <v>339</v>
      </c>
      <c r="D43" s="90">
        <v>0</v>
      </c>
      <c r="E43" s="90">
        <v>0</v>
      </c>
      <c r="F43" s="90">
        <v>0</v>
      </c>
      <c r="G43" s="90">
        <v>0</v>
      </c>
      <c r="H43" s="90">
        <v>0</v>
      </c>
    </row>
    <row r="44" spans="1:8" ht="13.25" customHeight="1" x14ac:dyDescent="0.25">
      <c r="C44" s="5" t="s">
        <v>340</v>
      </c>
      <c r="D44" s="90">
        <v>0.09</v>
      </c>
      <c r="E44" s="90">
        <v>0.09</v>
      </c>
      <c r="F44" s="90">
        <v>0.09</v>
      </c>
      <c r="G44" s="90">
        <v>0.09</v>
      </c>
      <c r="H44" s="90">
        <v>0.09</v>
      </c>
    </row>
    <row r="45" spans="1:8" ht="13.25" customHeight="1" x14ac:dyDescent="0.25">
      <c r="B45" s="5" t="s">
        <v>82</v>
      </c>
      <c r="C45" s="5" t="s">
        <v>338</v>
      </c>
      <c r="D45" s="90">
        <v>0</v>
      </c>
      <c r="E45" s="90">
        <v>1</v>
      </c>
      <c r="F45" s="90">
        <v>1</v>
      </c>
      <c r="G45" s="90">
        <v>1</v>
      </c>
      <c r="H45" s="90">
        <v>1</v>
      </c>
    </row>
    <row r="46" spans="1:8" ht="13.25" customHeight="1" x14ac:dyDescent="0.25">
      <c r="C46" s="5" t="s">
        <v>339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ht="13.25" customHeight="1" x14ac:dyDescent="0.25">
      <c r="C47" s="5" t="s">
        <v>340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ht="13.25" customHeight="1" x14ac:dyDescent="0.25">
      <c r="A48" s="5" t="s">
        <v>190</v>
      </c>
      <c r="B48" s="5" t="s">
        <v>81</v>
      </c>
      <c r="C48" s="5" t="s">
        <v>338</v>
      </c>
      <c r="D48" s="90">
        <v>1</v>
      </c>
      <c r="E48" s="90">
        <v>1</v>
      </c>
      <c r="F48" s="90">
        <v>1</v>
      </c>
      <c r="G48" s="90">
        <v>1</v>
      </c>
      <c r="H48" s="90">
        <v>1</v>
      </c>
    </row>
    <row r="49" spans="1:8" ht="13.25" customHeight="1" x14ac:dyDescent="0.25">
      <c r="C49" s="5" t="s">
        <v>339</v>
      </c>
      <c r="D49" s="90">
        <v>0.69</v>
      </c>
      <c r="E49" s="90">
        <v>0.69</v>
      </c>
      <c r="F49" s="90">
        <v>0.69</v>
      </c>
      <c r="G49" s="90">
        <v>0.69</v>
      </c>
      <c r="H49" s="90">
        <v>0.69</v>
      </c>
    </row>
    <row r="50" spans="1:8" ht="13.25" customHeight="1" x14ac:dyDescent="0.25">
      <c r="A50" s="5" t="s">
        <v>199</v>
      </c>
      <c r="B50" s="5" t="s">
        <v>81</v>
      </c>
      <c r="C50" s="5" t="s">
        <v>338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ht="13.25" customHeight="1" x14ac:dyDescent="0.25">
      <c r="C51" s="5" t="s">
        <v>339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ht="13.25" customHeight="1" x14ac:dyDescent="0.25">
      <c r="A52" s="5" t="s">
        <v>183</v>
      </c>
      <c r="B52" s="5" t="s">
        <v>72</v>
      </c>
      <c r="C52" s="5" t="s">
        <v>338</v>
      </c>
      <c r="D52" s="90">
        <v>1</v>
      </c>
      <c r="E52" s="90">
        <v>0</v>
      </c>
      <c r="F52" s="90">
        <v>0</v>
      </c>
      <c r="G52" s="90">
        <v>0</v>
      </c>
      <c r="H52" s="90">
        <v>0</v>
      </c>
    </row>
    <row r="53" spans="1:8" ht="13.25" customHeight="1" x14ac:dyDescent="0.25">
      <c r="C53" s="5" t="s">
        <v>339</v>
      </c>
      <c r="D53" s="90">
        <v>0.51</v>
      </c>
      <c r="E53" s="90">
        <v>0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330</v>
      </c>
      <c r="B55" s="97"/>
      <c r="C55" s="97"/>
    </row>
    <row r="56" spans="1:8" ht="13" customHeight="1" x14ac:dyDescent="0.3">
      <c r="A56" s="4" t="s">
        <v>156</v>
      </c>
      <c r="B56" s="4" t="s">
        <v>336</v>
      </c>
      <c r="C56" s="82" t="s">
        <v>337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ht="13.25" customHeight="1" x14ac:dyDescent="0.25">
      <c r="A57" s="5" t="s">
        <v>193</v>
      </c>
      <c r="B57" s="5" t="s">
        <v>81</v>
      </c>
      <c r="C57" s="5" t="s">
        <v>338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ht="13.25" customHeight="1" x14ac:dyDescent="0.25">
      <c r="C58" s="5" t="s">
        <v>339</v>
      </c>
      <c r="D58" s="90">
        <f>IF($C3="Affected fraction",D3,IF(D3=1,1,D3*0.9))</f>
        <v>0</v>
      </c>
      <c r="E58" s="90">
        <f>IF($C3="Affected fraction",E3,IF(E3=1,1,E3*0.9))</f>
        <v>0</v>
      </c>
      <c r="F58" s="90">
        <v>0.02</v>
      </c>
      <c r="G58" s="90">
        <v>0.02</v>
      </c>
      <c r="H58" s="90">
        <v>0.02</v>
      </c>
    </row>
    <row r="59" spans="1:8" ht="13.25" customHeight="1" x14ac:dyDescent="0.25">
      <c r="C59" s="5" t="s">
        <v>340</v>
      </c>
      <c r="D59" s="90">
        <f>IF($C4="Affected fraction",D4,IF(D4=1,1,D4*0.9))</f>
        <v>0</v>
      </c>
      <c r="E59" s="90">
        <f>IF($C4="Affected fraction",E4,IF(E4=1,1,E4*0.9))</f>
        <v>0</v>
      </c>
      <c r="F59" s="90">
        <v>0.13</v>
      </c>
      <c r="G59" s="90">
        <v>0.13</v>
      </c>
      <c r="H59" s="90">
        <v>0.13</v>
      </c>
    </row>
    <row r="60" spans="1:8" ht="13.25" customHeight="1" x14ac:dyDescent="0.25">
      <c r="A60" s="5" t="s">
        <v>191</v>
      </c>
      <c r="B60" s="5" t="s">
        <v>205</v>
      </c>
      <c r="C60" s="5" t="s">
        <v>338</v>
      </c>
      <c r="D60" s="90">
        <v>0</v>
      </c>
      <c r="E60" s="90">
        <v>0</v>
      </c>
      <c r="F60" s="90">
        <v>1</v>
      </c>
      <c r="G60" s="90">
        <v>1</v>
      </c>
      <c r="H60" s="90">
        <v>0</v>
      </c>
    </row>
    <row r="61" spans="1:8" ht="13.25" customHeight="1" x14ac:dyDescent="0.25">
      <c r="C61" s="5" t="s">
        <v>340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</row>
    <row r="62" spans="1:8" ht="13.25" customHeight="1" x14ac:dyDescent="0.25">
      <c r="B62" s="5" t="s">
        <v>204</v>
      </c>
      <c r="C62" s="5" t="s">
        <v>338</v>
      </c>
      <c r="D62" s="90">
        <v>0</v>
      </c>
      <c r="E62" s="90">
        <v>0</v>
      </c>
      <c r="F62" s="90">
        <v>1</v>
      </c>
      <c r="G62" s="90">
        <v>1</v>
      </c>
      <c r="H62" s="90">
        <v>0</v>
      </c>
    </row>
    <row r="63" spans="1:8" ht="13.25" customHeight="1" x14ac:dyDescent="0.25">
      <c r="C63" s="5" t="s">
        <v>340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</row>
    <row r="64" spans="1:8" ht="13.25" customHeight="1" x14ac:dyDescent="0.25">
      <c r="A64" s="5" t="s">
        <v>184</v>
      </c>
      <c r="B64" s="5" t="s">
        <v>205</v>
      </c>
      <c r="C64" s="5" t="s">
        <v>338</v>
      </c>
      <c r="D64" s="90">
        <v>0</v>
      </c>
      <c r="E64" s="90">
        <v>0</v>
      </c>
      <c r="F64" s="90">
        <v>1</v>
      </c>
      <c r="G64" s="90">
        <v>1</v>
      </c>
      <c r="H64" s="90">
        <v>0</v>
      </c>
    </row>
    <row r="65" spans="1:8" ht="13.25" customHeight="1" x14ac:dyDescent="0.25">
      <c r="C65" s="5" t="s">
        <v>340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</row>
    <row r="66" spans="1:8" ht="13.25" customHeight="1" x14ac:dyDescent="0.25">
      <c r="B66" s="5" t="s">
        <v>204</v>
      </c>
      <c r="C66" s="5" t="s">
        <v>338</v>
      </c>
      <c r="D66" s="90">
        <v>0</v>
      </c>
      <c r="E66" s="90">
        <v>0</v>
      </c>
      <c r="F66" s="90">
        <v>1</v>
      </c>
      <c r="G66" s="90">
        <v>1</v>
      </c>
      <c r="H66" s="90">
        <v>0</v>
      </c>
    </row>
    <row r="67" spans="1:8" ht="13.25" customHeight="1" x14ac:dyDescent="0.25">
      <c r="C67" s="5" t="s">
        <v>340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</row>
    <row r="68" spans="1:8" ht="13.25" customHeight="1" x14ac:dyDescent="0.25">
      <c r="A68" s="5" t="s">
        <v>192</v>
      </c>
      <c r="B68" s="5" t="s">
        <v>205</v>
      </c>
      <c r="C68" s="5" t="s">
        <v>338</v>
      </c>
      <c r="D68" s="90">
        <v>0</v>
      </c>
      <c r="E68" s="90">
        <v>0</v>
      </c>
      <c r="F68" s="90">
        <v>1</v>
      </c>
      <c r="G68" s="90">
        <v>1</v>
      </c>
      <c r="H68" s="90">
        <v>0</v>
      </c>
    </row>
    <row r="69" spans="1:8" ht="13.25" customHeight="1" x14ac:dyDescent="0.25">
      <c r="C69" s="5" t="s">
        <v>340</v>
      </c>
      <c r="D69" s="90">
        <f t="shared" ref="D69:E76" si="0">IF($C14="Affected fraction",D14,IF(D14=1,1,D14*0.9))</f>
        <v>0</v>
      </c>
      <c r="E69" s="90">
        <f t="shared" si="0"/>
        <v>0</v>
      </c>
      <c r="F69" s="90">
        <v>0.14000000000000001</v>
      </c>
      <c r="G69" s="90">
        <v>0.14000000000000001</v>
      </c>
      <c r="H69" s="90">
        <f>IF($C14="Affected fraction",H14,IF(H14=1,1,H14*0.9))</f>
        <v>0</v>
      </c>
    </row>
    <row r="70" spans="1:8" ht="13.25" customHeight="1" x14ac:dyDescent="0.25">
      <c r="B70" s="5" t="s">
        <v>204</v>
      </c>
      <c r="C70" s="5" t="s">
        <v>338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>IF($C15="Affected fraction",H15,IF(H15=1,1,H15*0.9))</f>
        <v>0</v>
      </c>
    </row>
    <row r="71" spans="1:8" ht="13.25" customHeight="1" x14ac:dyDescent="0.25">
      <c r="C71" s="5" t="s">
        <v>340</v>
      </c>
      <c r="D71" s="90">
        <f t="shared" si="0"/>
        <v>0</v>
      </c>
      <c r="E71" s="90">
        <f t="shared" si="0"/>
        <v>0</v>
      </c>
      <c r="F71" s="90">
        <v>7.0000000000000007E-2</v>
      </c>
      <c r="G71" s="90">
        <v>7.0000000000000007E-2</v>
      </c>
      <c r="H71" s="90">
        <f>IF($C16="Affected fraction",H16,IF(H16=1,1,H16*0.9))</f>
        <v>0</v>
      </c>
    </row>
    <row r="72" spans="1:8" ht="13.25" customHeight="1" x14ac:dyDescent="0.25">
      <c r="A72" s="5" t="s">
        <v>169</v>
      </c>
      <c r="B72" s="5" t="s">
        <v>205</v>
      </c>
      <c r="C72" s="5" t="s">
        <v>338</v>
      </c>
      <c r="D72" s="90">
        <f t="shared" si="0"/>
        <v>0</v>
      </c>
      <c r="E72" s="90">
        <f t="shared" si="0"/>
        <v>0</v>
      </c>
      <c r="F72" s="90">
        <f>IF($C17="Affected fraction",F17,IF(F17=1,1,F17*0.9))</f>
        <v>1</v>
      </c>
      <c r="G72" s="90">
        <f>IF($C17="Affected fraction",G17,IF(G17=1,1,G17*0.9))</f>
        <v>1</v>
      </c>
      <c r="H72" s="90">
        <f>IF($C17="Affected fraction",H17,IF(H17=1,1,H17*0.9))</f>
        <v>1</v>
      </c>
    </row>
    <row r="73" spans="1:8" ht="13.25" customHeight="1" x14ac:dyDescent="0.25">
      <c r="C73" s="5" t="s">
        <v>340</v>
      </c>
      <c r="D73" s="90">
        <f t="shared" si="0"/>
        <v>0</v>
      </c>
      <c r="E73" s="90">
        <f t="shared" si="0"/>
        <v>0</v>
      </c>
      <c r="F73" s="90">
        <v>0.39</v>
      </c>
      <c r="G73" s="90">
        <v>0.39</v>
      </c>
      <c r="H73" s="90">
        <v>0.39</v>
      </c>
    </row>
    <row r="74" spans="1:8" x14ac:dyDescent="0.25">
      <c r="B74" s="5" t="s">
        <v>204</v>
      </c>
      <c r="C74" s="5" t="s">
        <v>338</v>
      </c>
      <c r="D74" s="90">
        <f t="shared" si="0"/>
        <v>0</v>
      </c>
      <c r="E74" s="90">
        <f t="shared" si="0"/>
        <v>0</v>
      </c>
      <c r="F74" s="90">
        <f>IF($C19="Affected fraction",F19,IF(F19=1,1,F19*0.9))</f>
        <v>1</v>
      </c>
      <c r="G74" s="90">
        <f>IF($C19="Affected fraction",G19,IF(G19=1,1,G19*0.9))</f>
        <v>1</v>
      </c>
      <c r="H74" s="90">
        <f>IF($C19="Affected fraction",H19,IF(H19=1,1,H19*0.9))</f>
        <v>1</v>
      </c>
    </row>
    <row r="75" spans="1:8" x14ac:dyDescent="0.25">
      <c r="C75" s="5" t="s">
        <v>340</v>
      </c>
      <c r="D75" s="90">
        <f t="shared" si="0"/>
        <v>0</v>
      </c>
      <c r="E75" s="90">
        <f t="shared" si="0"/>
        <v>0</v>
      </c>
      <c r="F75" s="90">
        <v>0.32</v>
      </c>
      <c r="G75" s="90">
        <v>0.32</v>
      </c>
      <c r="H75" s="90">
        <v>0.32</v>
      </c>
    </row>
    <row r="76" spans="1:8" x14ac:dyDescent="0.25">
      <c r="A76" s="5" t="s">
        <v>174</v>
      </c>
      <c r="B76" s="5" t="s">
        <v>74</v>
      </c>
      <c r="C76" s="5" t="s">
        <v>338</v>
      </c>
      <c r="D76" s="90">
        <f t="shared" si="0"/>
        <v>1</v>
      </c>
      <c r="E76" s="90">
        <f t="shared" si="0"/>
        <v>0</v>
      </c>
      <c r="F76" s="90">
        <f t="shared" ref="F76:H81" si="1">IF($C21="Affected fraction",F21,IF(F21=1,1,F21*0.9))</f>
        <v>0</v>
      </c>
      <c r="G76" s="90">
        <f t="shared" si="1"/>
        <v>0</v>
      </c>
      <c r="H76" s="90">
        <f t="shared" si="1"/>
        <v>0</v>
      </c>
    </row>
    <row r="77" spans="1:8" x14ac:dyDescent="0.25">
      <c r="C77" s="5" t="s">
        <v>339</v>
      </c>
      <c r="D77" s="90">
        <v>0.11</v>
      </c>
      <c r="E77" s="90">
        <f>IF($C22="Affected fraction",E22,IF(E22=1,1,E22*0.9))</f>
        <v>0</v>
      </c>
      <c r="F77" s="90">
        <f t="shared" si="1"/>
        <v>0</v>
      </c>
      <c r="G77" s="90">
        <f t="shared" si="1"/>
        <v>0</v>
      </c>
      <c r="H77" s="90">
        <f t="shared" si="1"/>
        <v>0</v>
      </c>
    </row>
    <row r="78" spans="1:8" x14ac:dyDescent="0.25">
      <c r="A78" s="5" t="s">
        <v>172</v>
      </c>
      <c r="B78" s="5" t="s">
        <v>74</v>
      </c>
      <c r="C78" s="5" t="s">
        <v>338</v>
      </c>
      <c r="D78" s="90">
        <f>IF($C23="Affected fraction",D23,IF(D23=1,1,D23*0.9))</f>
        <v>1</v>
      </c>
      <c r="E78" s="90">
        <f>IF($C23="Affected fraction",E23,IF(E23=1,1,E23*0.9))</f>
        <v>0</v>
      </c>
      <c r="F78" s="90">
        <f t="shared" si="1"/>
        <v>0</v>
      </c>
      <c r="G78" s="90">
        <f t="shared" si="1"/>
        <v>0</v>
      </c>
      <c r="H78" s="90">
        <f t="shared" si="1"/>
        <v>0</v>
      </c>
    </row>
    <row r="79" spans="1:8" x14ac:dyDescent="0.25">
      <c r="C79" s="5" t="s">
        <v>339</v>
      </c>
      <c r="D79" s="90">
        <v>0.11</v>
      </c>
      <c r="E79" s="90">
        <f>IF($C24="Affected fraction",E24,IF(E24=1,1,E24*0.9))</f>
        <v>0</v>
      </c>
      <c r="F79" s="90">
        <f t="shared" si="1"/>
        <v>0</v>
      </c>
      <c r="G79" s="90">
        <f t="shared" si="1"/>
        <v>0</v>
      </c>
      <c r="H79" s="90">
        <f t="shared" si="1"/>
        <v>0</v>
      </c>
    </row>
    <row r="80" spans="1:8" x14ac:dyDescent="0.25">
      <c r="A80" s="5" t="s">
        <v>173</v>
      </c>
      <c r="B80" s="5" t="s">
        <v>74</v>
      </c>
      <c r="C80" s="5" t="s">
        <v>338</v>
      </c>
      <c r="D80" s="90">
        <f>IF($C25="Affected fraction",D25,IF(D25=1,1,D25*0.9))</f>
        <v>1</v>
      </c>
      <c r="E80" s="90">
        <f>IF($C25="Affected fraction",E25,IF(E25=1,1,E25*0.9))</f>
        <v>0</v>
      </c>
      <c r="F80" s="90">
        <f t="shared" si="1"/>
        <v>0</v>
      </c>
      <c r="G80" s="90">
        <f t="shared" si="1"/>
        <v>0</v>
      </c>
      <c r="H80" s="90">
        <f t="shared" si="1"/>
        <v>0</v>
      </c>
    </row>
    <row r="81" spans="1:8" x14ac:dyDescent="0.25">
      <c r="C81" s="5" t="s">
        <v>339</v>
      </c>
      <c r="D81" s="90">
        <v>0.11</v>
      </c>
      <c r="E81" s="90">
        <f>IF($C26="Affected fraction",E26,IF(E26=1,1,E26*0.9))</f>
        <v>0</v>
      </c>
      <c r="F81" s="90">
        <f t="shared" si="1"/>
        <v>0</v>
      </c>
      <c r="G81" s="90">
        <f t="shared" si="1"/>
        <v>0</v>
      </c>
      <c r="H81" s="90">
        <f t="shared" si="1"/>
        <v>0</v>
      </c>
    </row>
    <row r="82" spans="1:8" x14ac:dyDescent="0.25">
      <c r="A82" s="5" t="s">
        <v>197</v>
      </c>
      <c r="B82" s="5" t="s">
        <v>81</v>
      </c>
      <c r="C82" s="5" t="s">
        <v>338</v>
      </c>
      <c r="D82" s="90">
        <v>1</v>
      </c>
      <c r="E82" s="90">
        <v>1</v>
      </c>
      <c r="F82" s="90">
        <v>1</v>
      </c>
      <c r="G82" s="90">
        <v>1</v>
      </c>
      <c r="H82" s="90">
        <v>1</v>
      </c>
    </row>
    <row r="83" spans="1:8" x14ac:dyDescent="0.25">
      <c r="C83" s="5" t="s">
        <v>339</v>
      </c>
      <c r="D83" s="90">
        <v>0</v>
      </c>
      <c r="E83" s="90">
        <v>0</v>
      </c>
      <c r="F83" s="90">
        <v>0</v>
      </c>
      <c r="G83" s="90">
        <v>0</v>
      </c>
      <c r="H83" s="90">
        <v>0</v>
      </c>
    </row>
    <row r="84" spans="1:8" x14ac:dyDescent="0.25">
      <c r="C84" s="5" t="s">
        <v>340</v>
      </c>
      <c r="D84" s="90">
        <v>0</v>
      </c>
      <c r="E84" s="90">
        <v>0</v>
      </c>
      <c r="F84" s="90">
        <v>0</v>
      </c>
      <c r="G84" s="90">
        <v>0</v>
      </c>
      <c r="H84" s="90">
        <v>0</v>
      </c>
    </row>
    <row r="85" spans="1:8" x14ac:dyDescent="0.25">
      <c r="A85" s="5" t="s">
        <v>198</v>
      </c>
      <c r="B85" s="5" t="s">
        <v>81</v>
      </c>
      <c r="C85" s="5" t="s">
        <v>338</v>
      </c>
      <c r="D85" s="90">
        <v>1</v>
      </c>
      <c r="E85" s="90">
        <v>1</v>
      </c>
      <c r="F85" s="90">
        <v>1</v>
      </c>
      <c r="G85" s="90">
        <v>1</v>
      </c>
      <c r="H85" s="90">
        <v>1</v>
      </c>
    </row>
    <row r="86" spans="1:8" x14ac:dyDescent="0.25">
      <c r="C86" s="5" t="s">
        <v>339</v>
      </c>
      <c r="D86" s="90">
        <v>0</v>
      </c>
      <c r="E86" s="90">
        <v>0</v>
      </c>
      <c r="F86" s="90">
        <v>0</v>
      </c>
      <c r="G86" s="90">
        <v>0</v>
      </c>
      <c r="H86" s="90">
        <v>0</v>
      </c>
    </row>
    <row r="87" spans="1:8" x14ac:dyDescent="0.25">
      <c r="C87" s="5" t="s">
        <v>340</v>
      </c>
      <c r="D87" s="90">
        <v>0</v>
      </c>
      <c r="E87" s="90">
        <v>0</v>
      </c>
      <c r="F87" s="90">
        <v>0</v>
      </c>
      <c r="G87" s="90">
        <v>0</v>
      </c>
      <c r="H87" s="90">
        <v>0</v>
      </c>
    </row>
    <row r="88" spans="1:8" x14ac:dyDescent="0.25">
      <c r="A88" s="5" t="s">
        <v>196</v>
      </c>
      <c r="B88" s="5" t="s">
        <v>81</v>
      </c>
      <c r="C88" s="5" t="s">
        <v>338</v>
      </c>
      <c r="D88" s="90">
        <v>1</v>
      </c>
      <c r="E88" s="90">
        <v>1</v>
      </c>
      <c r="F88" s="90">
        <v>1</v>
      </c>
      <c r="G88" s="90">
        <v>1</v>
      </c>
      <c r="H88" s="90">
        <v>1</v>
      </c>
    </row>
    <row r="89" spans="1:8" x14ac:dyDescent="0.25">
      <c r="C89" s="5" t="s">
        <v>339</v>
      </c>
      <c r="D89" s="90">
        <v>0</v>
      </c>
      <c r="E89" s="90">
        <v>0</v>
      </c>
      <c r="F89" s="90">
        <v>0</v>
      </c>
      <c r="G89" s="90">
        <v>0</v>
      </c>
      <c r="H89" s="90">
        <v>0</v>
      </c>
    </row>
    <row r="90" spans="1:8" x14ac:dyDescent="0.25">
      <c r="C90" s="5" t="s">
        <v>340</v>
      </c>
      <c r="D90" s="90">
        <v>0</v>
      </c>
      <c r="E90" s="90">
        <v>0</v>
      </c>
      <c r="F90" s="90">
        <v>0</v>
      </c>
      <c r="G90" s="90">
        <v>0</v>
      </c>
      <c r="H90" s="90">
        <v>0</v>
      </c>
    </row>
    <row r="91" spans="1:8" x14ac:dyDescent="0.25">
      <c r="A91" s="5" t="s">
        <v>195</v>
      </c>
      <c r="B91" s="5" t="s">
        <v>81</v>
      </c>
      <c r="C91" s="5" t="s">
        <v>338</v>
      </c>
      <c r="D91" s="90">
        <v>1</v>
      </c>
      <c r="E91" s="90">
        <v>1</v>
      </c>
      <c r="F91" s="90">
        <v>1</v>
      </c>
      <c r="G91" s="90">
        <v>1</v>
      </c>
      <c r="H91" s="90">
        <v>1</v>
      </c>
    </row>
    <row r="92" spans="1:8" x14ac:dyDescent="0.25">
      <c r="C92" s="5" t="s">
        <v>339</v>
      </c>
      <c r="D92" s="90">
        <v>0</v>
      </c>
      <c r="E92" s="90">
        <v>0</v>
      </c>
      <c r="F92" s="90">
        <v>0</v>
      </c>
      <c r="G92" s="90">
        <v>0</v>
      </c>
      <c r="H92" s="90">
        <v>0</v>
      </c>
    </row>
    <row r="93" spans="1:8" x14ac:dyDescent="0.25">
      <c r="C93" s="5" t="s">
        <v>340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</row>
    <row r="94" spans="1:8" x14ac:dyDescent="0.25">
      <c r="A94" s="5" t="s">
        <v>194</v>
      </c>
      <c r="B94" s="5" t="s">
        <v>81</v>
      </c>
      <c r="C94" s="5" t="s">
        <v>338</v>
      </c>
      <c r="D94" s="90">
        <v>1</v>
      </c>
      <c r="E94" s="90">
        <v>1</v>
      </c>
      <c r="F94" s="90">
        <v>1</v>
      </c>
      <c r="G94" s="90">
        <v>1</v>
      </c>
      <c r="H94" s="90">
        <v>1</v>
      </c>
    </row>
    <row r="95" spans="1:8" x14ac:dyDescent="0.25">
      <c r="C95" s="5" t="s">
        <v>339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</row>
    <row r="96" spans="1:8" x14ac:dyDescent="0.25">
      <c r="C96" s="5" t="s">
        <v>340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</row>
    <row r="97" spans="1:8" x14ac:dyDescent="0.25">
      <c r="A97" s="5" t="s">
        <v>200</v>
      </c>
      <c r="B97" s="5" t="s">
        <v>81</v>
      </c>
      <c r="C97" s="5" t="s">
        <v>338</v>
      </c>
      <c r="D97" s="90">
        <f>IF($C42="Affected fraction",D42,IF(D42=1,1,D42*0.9))</f>
        <v>0</v>
      </c>
      <c r="E97" s="90">
        <f>IF($C42="Affected fraction",E42,IF(E42=1,1,E42*0.9))</f>
        <v>1</v>
      </c>
      <c r="F97" s="90">
        <f>IF($C42="Affected fraction",F42,IF(F42=1,1,F42*0.9))</f>
        <v>1</v>
      </c>
      <c r="G97" s="90">
        <f>IF($C42="Affected fraction",G42,IF(G42=1,1,G42*0.9))</f>
        <v>1</v>
      </c>
      <c r="H97" s="90">
        <f>IF($C42="Affected fraction",H42,IF(H42=1,1,H42*0.9))</f>
        <v>1</v>
      </c>
    </row>
    <row r="98" spans="1:8" x14ac:dyDescent="0.25">
      <c r="C98" s="5" t="s">
        <v>339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</row>
    <row r="99" spans="1:8" x14ac:dyDescent="0.25">
      <c r="C99" s="5" t="s">
        <v>340</v>
      </c>
      <c r="D99" s="90">
        <v>7.0000000000000007E-2</v>
      </c>
      <c r="E99" s="90">
        <v>7.0000000000000007E-2</v>
      </c>
      <c r="F99" s="90">
        <v>7.0000000000000007E-2</v>
      </c>
      <c r="G99" s="90">
        <v>7.0000000000000007E-2</v>
      </c>
      <c r="H99" s="90">
        <v>7.0000000000000007E-2</v>
      </c>
    </row>
    <row r="100" spans="1:8" x14ac:dyDescent="0.25">
      <c r="B100" s="5" t="s">
        <v>82</v>
      </c>
      <c r="C100" s="5" t="s">
        <v>338</v>
      </c>
      <c r="D100" s="90">
        <v>0</v>
      </c>
      <c r="E100" s="90">
        <v>1</v>
      </c>
      <c r="F100" s="90">
        <v>1</v>
      </c>
      <c r="G100" s="90">
        <v>1</v>
      </c>
      <c r="H100" s="90">
        <v>1</v>
      </c>
    </row>
    <row r="101" spans="1:8" x14ac:dyDescent="0.25">
      <c r="C101" s="5" t="s">
        <v>339</v>
      </c>
      <c r="D101" s="90">
        <v>0</v>
      </c>
      <c r="E101" s="90">
        <v>0</v>
      </c>
      <c r="F101" s="90">
        <v>0</v>
      </c>
      <c r="G101" s="90">
        <v>0</v>
      </c>
      <c r="H101" s="90">
        <v>0</v>
      </c>
    </row>
    <row r="102" spans="1:8" x14ac:dyDescent="0.25">
      <c r="C102" s="5" t="s">
        <v>340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</row>
    <row r="103" spans="1:8" x14ac:dyDescent="0.25">
      <c r="A103" s="5" t="s">
        <v>190</v>
      </c>
      <c r="B103" s="5" t="s">
        <v>81</v>
      </c>
      <c r="C103" s="5" t="s">
        <v>338</v>
      </c>
      <c r="D103" s="90">
        <v>1</v>
      </c>
      <c r="E103" s="90">
        <v>1</v>
      </c>
      <c r="F103" s="90">
        <v>1</v>
      </c>
      <c r="G103" s="90">
        <v>1</v>
      </c>
      <c r="H103" s="90">
        <v>1</v>
      </c>
    </row>
    <row r="104" spans="1:8" x14ac:dyDescent="0.25">
      <c r="C104" s="5" t="s">
        <v>339</v>
      </c>
      <c r="D104" s="90">
        <v>0.51</v>
      </c>
      <c r="E104" s="90">
        <v>0.51</v>
      </c>
      <c r="F104" s="90">
        <v>0.51</v>
      </c>
      <c r="G104" s="90">
        <v>0.51</v>
      </c>
      <c r="H104" s="90">
        <v>0.51</v>
      </c>
    </row>
    <row r="105" spans="1:8" x14ac:dyDescent="0.25">
      <c r="A105" s="5" t="s">
        <v>199</v>
      </c>
      <c r="B105" s="5" t="s">
        <v>81</v>
      </c>
      <c r="C105" s="5" t="s">
        <v>338</v>
      </c>
      <c r="D105" s="90">
        <v>1</v>
      </c>
      <c r="E105" s="90">
        <v>1</v>
      </c>
      <c r="F105" s="90">
        <v>1</v>
      </c>
      <c r="G105" s="90">
        <v>1</v>
      </c>
      <c r="H105" s="90">
        <v>1</v>
      </c>
    </row>
    <row r="106" spans="1:8" x14ac:dyDescent="0.25">
      <c r="C106" s="5" t="s">
        <v>339</v>
      </c>
      <c r="D106" s="90">
        <v>0.62</v>
      </c>
      <c r="E106" s="90">
        <v>0.62</v>
      </c>
      <c r="F106" s="90">
        <v>0.62</v>
      </c>
      <c r="G106" s="90">
        <v>0.62</v>
      </c>
      <c r="H106" s="90">
        <v>0.62</v>
      </c>
    </row>
    <row r="107" spans="1:8" x14ac:dyDescent="0.25">
      <c r="A107" s="5" t="s">
        <v>183</v>
      </c>
      <c r="B107" s="5" t="s">
        <v>72</v>
      </c>
      <c r="C107" s="5" t="s">
        <v>338</v>
      </c>
      <c r="D107" s="90">
        <v>1</v>
      </c>
      <c r="E107" s="90">
        <v>0</v>
      </c>
      <c r="F107" s="90">
        <v>0</v>
      </c>
      <c r="G107" s="90">
        <v>0</v>
      </c>
      <c r="H107" s="90">
        <v>0</v>
      </c>
    </row>
    <row r="108" spans="1:8" x14ac:dyDescent="0.25">
      <c r="C108" s="5" t="s">
        <v>339</v>
      </c>
      <c r="D108" s="90">
        <v>0.18</v>
      </c>
      <c r="E108" s="90">
        <v>0</v>
      </c>
      <c r="F108" s="90">
        <v>0</v>
      </c>
      <c r="G108" s="90">
        <v>0</v>
      </c>
      <c r="H108" s="90">
        <v>0</v>
      </c>
    </row>
    <row r="110" spans="1:8" s="93" customFormat="1" ht="13" customHeight="1" x14ac:dyDescent="0.3">
      <c r="A110" s="96" t="s">
        <v>333</v>
      </c>
      <c r="B110" s="97"/>
      <c r="C110" s="97"/>
    </row>
    <row r="111" spans="1:8" ht="13" customHeight="1" x14ac:dyDescent="0.3">
      <c r="A111" s="4" t="s">
        <v>156</v>
      </c>
      <c r="B111" s="4" t="s">
        <v>336</v>
      </c>
      <c r="C111" s="82" t="s">
        <v>337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338</v>
      </c>
      <c r="D112" s="90">
        <f t="shared" ref="D112:E114" si="2">IF($C2="Affected fraction",D2,IF(D2=1,1,D2*1.05))</f>
        <v>0</v>
      </c>
      <c r="E112" s="90">
        <f t="shared" si="2"/>
        <v>0</v>
      </c>
      <c r="F112" s="90">
        <f>IF($C57="Affected fraction",F57,IF(F57=1,1,F57*0.9))</f>
        <v>1</v>
      </c>
      <c r="G112" s="90">
        <f>IF($C57="Affected fraction",G57,IF(G57=1,1,G57*0.9))</f>
        <v>1</v>
      </c>
      <c r="H112" s="90">
        <f>IF($C57="Affected fraction",H57,IF(H57=1,1,H57*0.9))</f>
        <v>1</v>
      </c>
    </row>
    <row r="113" spans="1:8" x14ac:dyDescent="0.25">
      <c r="C113" s="5" t="s">
        <v>339</v>
      </c>
      <c r="D113" s="90">
        <f t="shared" si="2"/>
        <v>0</v>
      </c>
      <c r="E113" s="90">
        <f t="shared" si="2"/>
        <v>0</v>
      </c>
      <c r="F113" s="90">
        <v>0.21</v>
      </c>
      <c r="G113" s="90">
        <v>0.21</v>
      </c>
      <c r="H113" s="90">
        <v>0.21</v>
      </c>
    </row>
    <row r="114" spans="1:8" x14ac:dyDescent="0.25">
      <c r="C114" s="5" t="s">
        <v>340</v>
      </c>
      <c r="D114" s="90">
        <f t="shared" si="2"/>
        <v>0</v>
      </c>
      <c r="E114" s="90">
        <f t="shared" si="2"/>
        <v>0</v>
      </c>
      <c r="F114" s="90">
        <v>0.18</v>
      </c>
      <c r="G114" s="90">
        <v>0.18</v>
      </c>
      <c r="H114" s="90">
        <v>0.18</v>
      </c>
    </row>
    <row r="115" spans="1:8" x14ac:dyDescent="0.25">
      <c r="A115" s="5" t="s">
        <v>191</v>
      </c>
      <c r="B115" s="5" t="s">
        <v>205</v>
      </c>
      <c r="C115" s="5" t="s">
        <v>338</v>
      </c>
      <c r="D115" s="90">
        <v>0</v>
      </c>
      <c r="E115" s="90">
        <v>0</v>
      </c>
      <c r="F115" s="90">
        <v>1</v>
      </c>
      <c r="G115" s="90">
        <v>1</v>
      </c>
      <c r="H115" s="90">
        <v>0</v>
      </c>
    </row>
    <row r="116" spans="1:8" x14ac:dyDescent="0.25">
      <c r="C116" s="5" t="s">
        <v>340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</row>
    <row r="117" spans="1:8" x14ac:dyDescent="0.25">
      <c r="B117" s="5" t="s">
        <v>204</v>
      </c>
      <c r="C117" s="5" t="s">
        <v>338</v>
      </c>
      <c r="D117" s="90">
        <v>0</v>
      </c>
      <c r="E117" s="90">
        <v>0</v>
      </c>
      <c r="F117" s="90">
        <v>1</v>
      </c>
      <c r="G117" s="90">
        <v>1</v>
      </c>
      <c r="H117" s="90">
        <v>0</v>
      </c>
    </row>
    <row r="118" spans="1:8" x14ac:dyDescent="0.25">
      <c r="C118" s="5" t="s">
        <v>340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</row>
    <row r="119" spans="1:8" x14ac:dyDescent="0.25">
      <c r="A119" s="5" t="s">
        <v>184</v>
      </c>
      <c r="B119" s="5" t="s">
        <v>205</v>
      </c>
      <c r="C119" s="5" t="s">
        <v>338</v>
      </c>
      <c r="D119" s="90">
        <v>0</v>
      </c>
      <c r="E119" s="90">
        <v>0</v>
      </c>
      <c r="F119" s="90">
        <v>1</v>
      </c>
      <c r="G119" s="90">
        <v>1</v>
      </c>
      <c r="H119" s="90">
        <v>0</v>
      </c>
    </row>
    <row r="120" spans="1:8" x14ac:dyDescent="0.25">
      <c r="C120" s="5" t="s">
        <v>340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</row>
    <row r="121" spans="1:8" x14ac:dyDescent="0.25">
      <c r="B121" s="5" t="s">
        <v>204</v>
      </c>
      <c r="C121" s="5" t="s">
        <v>338</v>
      </c>
      <c r="D121" s="90">
        <v>0</v>
      </c>
      <c r="E121" s="90">
        <v>0</v>
      </c>
      <c r="F121" s="90">
        <v>1</v>
      </c>
      <c r="G121" s="90">
        <v>1</v>
      </c>
      <c r="H121" s="90">
        <v>0</v>
      </c>
    </row>
    <row r="122" spans="1:8" x14ac:dyDescent="0.25">
      <c r="C122" s="5" t="s">
        <v>340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</row>
    <row r="123" spans="1:8" x14ac:dyDescent="0.25">
      <c r="A123" s="5" t="s">
        <v>192</v>
      </c>
      <c r="B123" s="5" t="s">
        <v>205</v>
      </c>
      <c r="C123" s="5" t="s">
        <v>338</v>
      </c>
      <c r="D123" s="90">
        <v>0</v>
      </c>
      <c r="E123" s="90">
        <v>0</v>
      </c>
      <c r="F123" s="90">
        <v>1</v>
      </c>
      <c r="G123" s="90">
        <v>1</v>
      </c>
      <c r="H123" s="90">
        <v>0</v>
      </c>
    </row>
    <row r="124" spans="1:8" x14ac:dyDescent="0.25">
      <c r="C124" s="5" t="s">
        <v>340</v>
      </c>
      <c r="D124" s="90">
        <f t="shared" ref="D124:E130" si="3">IF($C14="Affected fraction",D14,IF(D14=1,1,D14*1.05))</f>
        <v>0</v>
      </c>
      <c r="E124" s="90">
        <f t="shared" si="3"/>
        <v>0</v>
      </c>
      <c r="F124" s="90">
        <v>0.45</v>
      </c>
      <c r="G124" s="90">
        <v>0.45</v>
      </c>
      <c r="H124" s="90">
        <f>IF($C14="Affected fraction",H14,IF(H14=1,1,H14*1.05))</f>
        <v>0</v>
      </c>
    </row>
    <row r="125" spans="1:8" x14ac:dyDescent="0.25">
      <c r="B125" s="5" t="s">
        <v>204</v>
      </c>
      <c r="C125" s="5" t="s">
        <v>338</v>
      </c>
      <c r="D125" s="90">
        <f t="shared" si="3"/>
        <v>0</v>
      </c>
      <c r="E125" s="90">
        <f t="shared" si="3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>IF($C15="Affected fraction",H15,IF(H15=1,1,H15*1.05))</f>
        <v>0</v>
      </c>
    </row>
    <row r="126" spans="1:8" x14ac:dyDescent="0.25">
      <c r="C126" s="5" t="s">
        <v>340</v>
      </c>
      <c r="D126" s="90">
        <f t="shared" si="3"/>
        <v>0</v>
      </c>
      <c r="E126" s="90">
        <f t="shared" si="3"/>
        <v>0</v>
      </c>
      <c r="F126" s="90">
        <v>0.2</v>
      </c>
      <c r="G126" s="90">
        <v>0.2</v>
      </c>
      <c r="H126" s="90">
        <f>IF($C16="Affected fraction",H16,IF(H16=1,1,H16*1.05))</f>
        <v>0</v>
      </c>
    </row>
    <row r="127" spans="1:8" x14ac:dyDescent="0.25">
      <c r="A127" s="5" t="s">
        <v>169</v>
      </c>
      <c r="B127" s="5" t="s">
        <v>205</v>
      </c>
      <c r="C127" s="5" t="s">
        <v>338</v>
      </c>
      <c r="D127" s="90">
        <f t="shared" si="3"/>
        <v>0</v>
      </c>
      <c r="E127" s="90">
        <f t="shared" si="3"/>
        <v>0</v>
      </c>
      <c r="F127" s="90">
        <f>IF($C17="Affected fraction",F17,IF(F17=1,1,F17*1.05))</f>
        <v>1</v>
      </c>
      <c r="G127" s="90">
        <f>IF($C17="Affected fraction",G17,IF(G17=1,1,G17*1.05))</f>
        <v>1</v>
      </c>
      <c r="H127" s="90">
        <f>IF($C17="Affected fraction",H17,IF(H17=1,1,H17*1.05))</f>
        <v>1</v>
      </c>
    </row>
    <row r="128" spans="1:8" x14ac:dyDescent="0.25">
      <c r="C128" s="5" t="s">
        <v>340</v>
      </c>
      <c r="D128" s="90">
        <f t="shared" si="3"/>
        <v>0</v>
      </c>
      <c r="E128" s="90">
        <f t="shared" si="3"/>
        <v>0</v>
      </c>
      <c r="F128" s="90">
        <v>0.84</v>
      </c>
      <c r="G128" s="90">
        <v>0.84</v>
      </c>
      <c r="H128" s="90">
        <v>0.84</v>
      </c>
    </row>
    <row r="129" spans="1:8" x14ac:dyDescent="0.25">
      <c r="B129" s="5" t="s">
        <v>204</v>
      </c>
      <c r="C129" s="5" t="s">
        <v>338</v>
      </c>
      <c r="D129" s="90">
        <f t="shared" si="3"/>
        <v>0</v>
      </c>
      <c r="E129" s="90">
        <f t="shared" si="3"/>
        <v>0</v>
      </c>
      <c r="F129" s="90">
        <f>IF($C74="Affected fraction",F74,IF(F74=1,1,F74*0.9))</f>
        <v>1</v>
      </c>
      <c r="G129" s="90">
        <f>IF($C74="Affected fraction",G74,IF(G74=1,1,G74*0.9))</f>
        <v>1</v>
      </c>
      <c r="H129" s="90">
        <f>IF($C74="Affected fraction",H74,IF(H74=1,1,H74*0.9))</f>
        <v>1</v>
      </c>
    </row>
    <row r="130" spans="1:8" x14ac:dyDescent="0.25">
      <c r="C130" s="5" t="s">
        <v>340</v>
      </c>
      <c r="D130" s="90">
        <f t="shared" si="3"/>
        <v>0</v>
      </c>
      <c r="E130" s="90">
        <f t="shared" si="3"/>
        <v>0</v>
      </c>
      <c r="F130" s="90">
        <v>0.77</v>
      </c>
      <c r="G130" s="90">
        <v>0.77</v>
      </c>
      <c r="H130" s="90">
        <v>0.77</v>
      </c>
    </row>
    <row r="131" spans="1:8" x14ac:dyDescent="0.25">
      <c r="A131" s="5" t="s">
        <v>174</v>
      </c>
      <c r="B131" s="5" t="s">
        <v>74</v>
      </c>
      <c r="C131" s="5" t="s">
        <v>338</v>
      </c>
      <c r="D131" s="90">
        <f>IF($C76="Affected fraction",D76,IF(D76=1,1,D76*0.9))</f>
        <v>1</v>
      </c>
      <c r="E131" s="90">
        <f t="shared" ref="E131:H136" si="4">IF($C21="Affected fraction",E21,IF(E21=1,1,E21*1.05))</f>
        <v>0</v>
      </c>
      <c r="F131" s="90">
        <f t="shared" si="4"/>
        <v>0</v>
      </c>
      <c r="G131" s="90">
        <f t="shared" si="4"/>
        <v>0</v>
      </c>
      <c r="H131" s="90">
        <f t="shared" si="4"/>
        <v>0</v>
      </c>
    </row>
    <row r="132" spans="1:8" x14ac:dyDescent="0.25">
      <c r="C132" s="5" t="s">
        <v>339</v>
      </c>
      <c r="D132" s="90">
        <v>0.16</v>
      </c>
      <c r="E132" s="90">
        <f t="shared" si="4"/>
        <v>0</v>
      </c>
      <c r="F132" s="90">
        <f t="shared" si="4"/>
        <v>0</v>
      </c>
      <c r="G132" s="90">
        <f t="shared" si="4"/>
        <v>0</v>
      </c>
      <c r="H132" s="90">
        <f t="shared" si="4"/>
        <v>0</v>
      </c>
    </row>
    <row r="133" spans="1:8" x14ac:dyDescent="0.25">
      <c r="A133" s="5" t="s">
        <v>172</v>
      </c>
      <c r="B133" s="5" t="s">
        <v>74</v>
      </c>
      <c r="C133" s="5" t="s">
        <v>338</v>
      </c>
      <c r="D133" s="90">
        <f>IF($C78="Affected fraction",D78,IF(D78=1,1,D78*0.9))</f>
        <v>1</v>
      </c>
      <c r="E133" s="90">
        <f t="shared" si="4"/>
        <v>0</v>
      </c>
      <c r="F133" s="90">
        <f t="shared" si="4"/>
        <v>0</v>
      </c>
      <c r="G133" s="90">
        <f t="shared" si="4"/>
        <v>0</v>
      </c>
      <c r="H133" s="90">
        <f t="shared" si="4"/>
        <v>0</v>
      </c>
    </row>
    <row r="134" spans="1:8" x14ac:dyDescent="0.25">
      <c r="C134" s="5" t="s">
        <v>339</v>
      </c>
      <c r="D134" s="90">
        <v>0.16</v>
      </c>
      <c r="E134" s="90">
        <f t="shared" si="4"/>
        <v>0</v>
      </c>
      <c r="F134" s="90">
        <f t="shared" si="4"/>
        <v>0</v>
      </c>
      <c r="G134" s="90">
        <f t="shared" si="4"/>
        <v>0</v>
      </c>
      <c r="H134" s="90">
        <f t="shared" si="4"/>
        <v>0</v>
      </c>
    </row>
    <row r="135" spans="1:8" x14ac:dyDescent="0.25">
      <c r="A135" s="5" t="s">
        <v>173</v>
      </c>
      <c r="B135" s="5" t="s">
        <v>74</v>
      </c>
      <c r="C135" s="5" t="s">
        <v>338</v>
      </c>
      <c r="D135" s="90">
        <f>IF($C80="Affected fraction",D80,IF(D80=1,1,D80*0.9))</f>
        <v>1</v>
      </c>
      <c r="E135" s="90">
        <f t="shared" si="4"/>
        <v>0</v>
      </c>
      <c r="F135" s="90">
        <f t="shared" si="4"/>
        <v>0</v>
      </c>
      <c r="G135" s="90">
        <f t="shared" si="4"/>
        <v>0</v>
      </c>
      <c r="H135" s="90">
        <f t="shared" si="4"/>
        <v>0</v>
      </c>
    </row>
    <row r="136" spans="1:8" x14ac:dyDescent="0.25">
      <c r="C136" s="5" t="s">
        <v>339</v>
      </c>
      <c r="D136" s="90">
        <v>0.16</v>
      </c>
      <c r="E136" s="90">
        <f t="shared" si="4"/>
        <v>0</v>
      </c>
      <c r="F136" s="90">
        <f t="shared" si="4"/>
        <v>0</v>
      </c>
      <c r="G136" s="90">
        <f t="shared" si="4"/>
        <v>0</v>
      </c>
      <c r="H136" s="90">
        <f t="shared" si="4"/>
        <v>0</v>
      </c>
    </row>
    <row r="137" spans="1:8" x14ac:dyDescent="0.25">
      <c r="A137" s="5" t="s">
        <v>197</v>
      </c>
      <c r="B137" s="5" t="s">
        <v>81</v>
      </c>
      <c r="C137" s="5" t="s">
        <v>338</v>
      </c>
      <c r="D137" s="90">
        <v>1</v>
      </c>
      <c r="E137" s="90">
        <v>1</v>
      </c>
      <c r="F137" s="90">
        <v>1</v>
      </c>
      <c r="G137" s="90">
        <v>1</v>
      </c>
      <c r="H137" s="90">
        <v>1</v>
      </c>
    </row>
    <row r="138" spans="1:8" x14ac:dyDescent="0.25">
      <c r="C138" s="5" t="s">
        <v>339</v>
      </c>
      <c r="D138" s="90">
        <v>0</v>
      </c>
      <c r="E138" s="90">
        <v>0</v>
      </c>
      <c r="F138" s="90">
        <v>0</v>
      </c>
      <c r="G138" s="90">
        <v>0</v>
      </c>
      <c r="H138" s="90">
        <v>0</v>
      </c>
    </row>
    <row r="139" spans="1:8" x14ac:dyDescent="0.25">
      <c r="C139" s="5" t="s">
        <v>340</v>
      </c>
      <c r="D139" s="90">
        <v>0</v>
      </c>
      <c r="E139" s="90">
        <v>0</v>
      </c>
      <c r="F139" s="90">
        <v>0</v>
      </c>
      <c r="G139" s="90">
        <v>0</v>
      </c>
      <c r="H139" s="90">
        <v>0</v>
      </c>
    </row>
    <row r="140" spans="1:8" x14ac:dyDescent="0.25">
      <c r="A140" s="5" t="s">
        <v>198</v>
      </c>
      <c r="B140" s="5" t="s">
        <v>81</v>
      </c>
      <c r="C140" s="5" t="s">
        <v>338</v>
      </c>
      <c r="D140" s="90">
        <v>1</v>
      </c>
      <c r="E140" s="90">
        <v>1</v>
      </c>
      <c r="F140" s="90">
        <v>1</v>
      </c>
      <c r="G140" s="90">
        <v>1</v>
      </c>
      <c r="H140" s="90">
        <v>1</v>
      </c>
    </row>
    <row r="141" spans="1:8" x14ac:dyDescent="0.25">
      <c r="C141" s="5" t="s">
        <v>339</v>
      </c>
      <c r="D141" s="90">
        <v>0</v>
      </c>
      <c r="E141" s="90">
        <v>0</v>
      </c>
      <c r="F141" s="90">
        <v>0</v>
      </c>
      <c r="G141" s="90">
        <v>0</v>
      </c>
      <c r="H141" s="90">
        <v>0</v>
      </c>
    </row>
    <row r="142" spans="1:8" x14ac:dyDescent="0.25">
      <c r="C142" s="5" t="s">
        <v>340</v>
      </c>
      <c r="D142" s="90">
        <v>0</v>
      </c>
      <c r="E142" s="90">
        <v>0</v>
      </c>
      <c r="F142" s="90">
        <v>0</v>
      </c>
      <c r="G142" s="90">
        <v>0</v>
      </c>
      <c r="H142" s="90">
        <v>0</v>
      </c>
    </row>
    <row r="143" spans="1:8" x14ac:dyDescent="0.25">
      <c r="A143" s="5" t="s">
        <v>196</v>
      </c>
      <c r="B143" s="5" t="s">
        <v>81</v>
      </c>
      <c r="C143" s="5" t="s">
        <v>338</v>
      </c>
      <c r="D143" s="90">
        <v>1</v>
      </c>
      <c r="E143" s="90">
        <v>1</v>
      </c>
      <c r="F143" s="90">
        <v>1</v>
      </c>
      <c r="G143" s="90">
        <v>1</v>
      </c>
      <c r="H143" s="90">
        <v>1</v>
      </c>
    </row>
    <row r="144" spans="1:8" x14ac:dyDescent="0.25">
      <c r="C144" s="5" t="s">
        <v>339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</row>
    <row r="145" spans="1:8" x14ac:dyDescent="0.25">
      <c r="C145" s="5" t="s">
        <v>340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</row>
    <row r="146" spans="1:8" x14ac:dyDescent="0.25">
      <c r="A146" s="5" t="s">
        <v>195</v>
      </c>
      <c r="B146" s="5" t="s">
        <v>81</v>
      </c>
      <c r="C146" s="5" t="s">
        <v>338</v>
      </c>
      <c r="D146" s="90">
        <v>1</v>
      </c>
      <c r="E146" s="90">
        <v>1</v>
      </c>
      <c r="F146" s="90">
        <v>1</v>
      </c>
      <c r="G146" s="90">
        <v>1</v>
      </c>
      <c r="H146" s="90">
        <v>1</v>
      </c>
    </row>
    <row r="147" spans="1:8" x14ac:dyDescent="0.25">
      <c r="C147" s="5" t="s">
        <v>339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</row>
    <row r="148" spans="1:8" x14ac:dyDescent="0.25">
      <c r="C148" s="5" t="s">
        <v>340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</row>
    <row r="149" spans="1:8" x14ac:dyDescent="0.25">
      <c r="A149" s="5" t="s">
        <v>194</v>
      </c>
      <c r="B149" s="5" t="s">
        <v>81</v>
      </c>
      <c r="C149" s="5" t="s">
        <v>338</v>
      </c>
      <c r="D149" s="90">
        <v>1</v>
      </c>
      <c r="E149" s="90">
        <v>1</v>
      </c>
      <c r="F149" s="90">
        <v>1</v>
      </c>
      <c r="G149" s="90">
        <v>1</v>
      </c>
      <c r="H149" s="90">
        <v>1</v>
      </c>
    </row>
    <row r="150" spans="1:8" x14ac:dyDescent="0.25">
      <c r="C150" s="5" t="s">
        <v>339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</row>
    <row r="151" spans="1:8" x14ac:dyDescent="0.25">
      <c r="C151" s="5" t="s">
        <v>340</v>
      </c>
      <c r="D151" s="90">
        <v>0</v>
      </c>
      <c r="E151" s="90">
        <v>0</v>
      </c>
      <c r="F151" s="90">
        <v>0</v>
      </c>
      <c r="G151" s="90">
        <v>0</v>
      </c>
      <c r="H151" s="90">
        <v>0</v>
      </c>
    </row>
    <row r="152" spans="1:8" x14ac:dyDescent="0.25">
      <c r="A152" s="5" t="s">
        <v>200</v>
      </c>
      <c r="B152" s="5" t="s">
        <v>81</v>
      </c>
      <c r="C152" s="5" t="s">
        <v>338</v>
      </c>
      <c r="D152" s="90">
        <f t="shared" ref="D152:H153" si="5">IF($C97="Affected fraction",D97,IF(D97=1,1,D97*0.9))</f>
        <v>0</v>
      </c>
      <c r="E152" s="90">
        <f t="shared" si="5"/>
        <v>1</v>
      </c>
      <c r="F152" s="90">
        <f t="shared" si="5"/>
        <v>1</v>
      </c>
      <c r="G152" s="90">
        <f t="shared" si="5"/>
        <v>1</v>
      </c>
      <c r="H152" s="90">
        <f t="shared" si="5"/>
        <v>1</v>
      </c>
    </row>
    <row r="153" spans="1:8" x14ac:dyDescent="0.25">
      <c r="C153" s="5" t="s">
        <v>339</v>
      </c>
      <c r="D153" s="90">
        <f t="shared" si="5"/>
        <v>0</v>
      </c>
      <c r="E153" s="90">
        <f t="shared" si="5"/>
        <v>0</v>
      </c>
      <c r="F153" s="90">
        <f t="shared" si="5"/>
        <v>0</v>
      </c>
      <c r="G153" s="90">
        <f t="shared" si="5"/>
        <v>0</v>
      </c>
      <c r="H153" s="90">
        <f t="shared" si="5"/>
        <v>0</v>
      </c>
    </row>
    <row r="154" spans="1:8" x14ac:dyDescent="0.25">
      <c r="C154" s="5" t="s">
        <v>340</v>
      </c>
      <c r="D154" s="90">
        <v>0.1</v>
      </c>
      <c r="E154" s="90">
        <v>0.1</v>
      </c>
      <c r="F154" s="90">
        <v>0.1</v>
      </c>
      <c r="G154" s="90">
        <v>0.1</v>
      </c>
      <c r="H154" s="90">
        <v>0.1</v>
      </c>
    </row>
    <row r="155" spans="1:8" x14ac:dyDescent="0.25">
      <c r="B155" s="5" t="s">
        <v>82</v>
      </c>
      <c r="C155" s="5" t="s">
        <v>338</v>
      </c>
      <c r="D155" s="90">
        <v>0</v>
      </c>
      <c r="E155" s="90">
        <v>1</v>
      </c>
      <c r="F155" s="90">
        <v>1</v>
      </c>
      <c r="G155" s="90">
        <v>1</v>
      </c>
      <c r="H155" s="90">
        <v>1</v>
      </c>
    </row>
    <row r="156" spans="1:8" x14ac:dyDescent="0.25">
      <c r="C156" s="5" t="s">
        <v>339</v>
      </c>
      <c r="D156" s="90">
        <v>0</v>
      </c>
      <c r="E156" s="90">
        <v>0</v>
      </c>
      <c r="F156" s="90">
        <v>0</v>
      </c>
      <c r="G156" s="90">
        <v>0</v>
      </c>
      <c r="H156" s="90">
        <v>0</v>
      </c>
    </row>
    <row r="157" spans="1:8" x14ac:dyDescent="0.25">
      <c r="C157" s="5" t="s">
        <v>340</v>
      </c>
      <c r="D157" s="90">
        <v>0</v>
      </c>
      <c r="E157" s="90">
        <v>0</v>
      </c>
      <c r="F157" s="90">
        <v>0</v>
      </c>
      <c r="G157" s="90">
        <v>0</v>
      </c>
      <c r="H157" s="90">
        <v>0</v>
      </c>
    </row>
    <row r="158" spans="1:8" x14ac:dyDescent="0.25">
      <c r="A158" s="5" t="s">
        <v>190</v>
      </c>
      <c r="B158" s="5" t="s">
        <v>81</v>
      </c>
      <c r="C158" s="5" t="s">
        <v>338</v>
      </c>
      <c r="D158" s="90">
        <v>1</v>
      </c>
      <c r="E158" s="90">
        <v>1</v>
      </c>
      <c r="F158" s="90">
        <v>1</v>
      </c>
      <c r="G158" s="90">
        <v>1</v>
      </c>
      <c r="H158" s="90">
        <v>1</v>
      </c>
    </row>
    <row r="159" spans="1:8" x14ac:dyDescent="0.25">
      <c r="C159" s="5" t="s">
        <v>339</v>
      </c>
      <c r="D159" s="90">
        <v>0.8</v>
      </c>
      <c r="E159" s="90">
        <v>0.8</v>
      </c>
      <c r="F159" s="90">
        <v>0.8</v>
      </c>
      <c r="G159" s="90">
        <v>0.8</v>
      </c>
      <c r="H159" s="90">
        <v>0.8</v>
      </c>
    </row>
    <row r="160" spans="1:8" x14ac:dyDescent="0.25">
      <c r="A160" s="5" t="s">
        <v>199</v>
      </c>
      <c r="B160" s="5" t="s">
        <v>81</v>
      </c>
      <c r="C160" s="5" t="s">
        <v>338</v>
      </c>
      <c r="D160" s="90">
        <v>1</v>
      </c>
      <c r="E160" s="90">
        <v>1</v>
      </c>
      <c r="F160" s="90">
        <v>1</v>
      </c>
      <c r="G160" s="90">
        <v>1</v>
      </c>
      <c r="H160" s="90">
        <v>1</v>
      </c>
    </row>
    <row r="161" spans="1:8" x14ac:dyDescent="0.25">
      <c r="C161" s="5" t="s">
        <v>339</v>
      </c>
      <c r="D161" s="90">
        <v>0.85</v>
      </c>
      <c r="E161" s="90">
        <v>0.85</v>
      </c>
      <c r="F161" s="90">
        <v>0.85</v>
      </c>
      <c r="G161" s="90">
        <v>0.85</v>
      </c>
      <c r="H161" s="90">
        <v>0.85</v>
      </c>
    </row>
    <row r="162" spans="1:8" x14ac:dyDescent="0.25">
      <c r="A162" s="5" t="s">
        <v>183</v>
      </c>
      <c r="B162" s="5" t="s">
        <v>72</v>
      </c>
      <c r="C162" s="5" t="s">
        <v>338</v>
      </c>
      <c r="D162" s="90">
        <v>1</v>
      </c>
      <c r="E162" s="90">
        <v>0</v>
      </c>
      <c r="F162" s="90">
        <v>0</v>
      </c>
      <c r="G162" s="90">
        <v>0</v>
      </c>
      <c r="H162" s="90">
        <v>0</v>
      </c>
    </row>
    <row r="163" spans="1:8" x14ac:dyDescent="0.25">
      <c r="C163" s="5" t="s">
        <v>339</v>
      </c>
      <c r="D163" s="90">
        <v>0.71</v>
      </c>
      <c r="E163" s="90">
        <v>0</v>
      </c>
      <c r="F163" s="90">
        <v>0</v>
      </c>
      <c r="G163" s="90">
        <v>0</v>
      </c>
      <c r="H163" s="90">
        <v>0</v>
      </c>
    </row>
  </sheetData>
  <sheetProtection algorithmName="SHA-512" hashValue="gIF3gzcRwMevsVP9JM+eFJliWIfkjL6RYnVy29HH1zFwKTB/eJc1NVFGROY84dwrfqcI+B8KpOZ1waT1qDgCXQ==" saltValue="0Itsi1W8Rg+oXl6coWpoc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5" zoomScaleNormal="85" workbookViewId="0">
      <selection activeCell="E28" sqref="E28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156</v>
      </c>
      <c r="B1" s="1" t="s">
        <v>336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ht="13.25" customHeight="1" x14ac:dyDescent="0.25">
      <c r="A2" s="3" t="s">
        <v>168</v>
      </c>
      <c r="B2" s="8" t="s">
        <v>94</v>
      </c>
      <c r="C2" s="3" t="s">
        <v>338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ht="13.25" customHeight="1" x14ac:dyDescent="0.25">
      <c r="C3" s="8" t="s">
        <v>339</v>
      </c>
      <c r="D3" s="90">
        <v>0.83</v>
      </c>
      <c r="E3" s="90">
        <v>0.83</v>
      </c>
      <c r="F3" s="90">
        <v>0.83</v>
      </c>
      <c r="G3" s="90">
        <v>0.83</v>
      </c>
      <c r="H3" s="3"/>
    </row>
    <row r="4" spans="1:8" ht="13.25" customHeight="1" x14ac:dyDescent="0.25">
      <c r="A4" s="3" t="s">
        <v>187</v>
      </c>
      <c r="B4" s="8" t="s">
        <v>94</v>
      </c>
      <c r="C4" s="3" t="s">
        <v>338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ht="13.25" customHeight="1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ht="13.25" customHeight="1" x14ac:dyDescent="0.25">
      <c r="A6" s="3" t="s">
        <v>186</v>
      </c>
      <c r="B6" s="8" t="s">
        <v>94</v>
      </c>
      <c r="C6" s="3" t="s">
        <v>338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ht="13.25" customHeight="1" x14ac:dyDescent="0.25">
      <c r="C7" s="8" t="s">
        <v>339</v>
      </c>
      <c r="D7" s="90">
        <v>0.59</v>
      </c>
      <c r="E7" s="90">
        <v>0.59</v>
      </c>
      <c r="F7" s="90">
        <v>0.59</v>
      </c>
      <c r="G7" s="90">
        <v>0.59</v>
      </c>
      <c r="H7" s="3"/>
    </row>
    <row r="9" spans="1:8" s="92" customFormat="1" ht="13" customHeight="1" x14ac:dyDescent="0.3">
      <c r="A9" s="92" t="s">
        <v>330</v>
      </c>
    </row>
    <row r="10" spans="1:8" ht="13" customHeight="1" x14ac:dyDescent="0.3">
      <c r="A10" s="1" t="s">
        <v>156</v>
      </c>
      <c r="B10" s="1" t="s">
        <v>336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ht="13.25" customHeight="1" x14ac:dyDescent="0.25">
      <c r="A11" s="3" t="s">
        <v>168</v>
      </c>
      <c r="B11" s="8" t="s">
        <v>94</v>
      </c>
      <c r="C11" s="3" t="s">
        <v>338</v>
      </c>
      <c r="D11" s="90">
        <f>IF($C2="Affected fraction",D2,IF(D2=1,1,D2*0.9))</f>
        <v>1</v>
      </c>
      <c r="E11" s="90">
        <f>IF($C2="Affected fraction",E2,IF(E2=1,1,E2*0.9))</f>
        <v>1</v>
      </c>
      <c r="F11" s="90">
        <f>IF($C2="Affected fraction",F2,IF(F2=1,1,F2*0.9))</f>
        <v>1</v>
      </c>
      <c r="G11" s="90">
        <f>IF($C2="Affected fraction",G2,IF(G2=1,1,G2*0.9))</f>
        <v>1</v>
      </c>
    </row>
    <row r="12" spans="1:8" ht="13.25" customHeight="1" x14ac:dyDescent="0.25">
      <c r="C12" s="8" t="s">
        <v>339</v>
      </c>
      <c r="D12" s="90">
        <v>0</v>
      </c>
      <c r="E12" s="90">
        <v>0</v>
      </c>
      <c r="F12" s="90">
        <v>0</v>
      </c>
      <c r="G12" s="90">
        <v>0</v>
      </c>
    </row>
    <row r="13" spans="1:8" ht="13.25" customHeight="1" x14ac:dyDescent="0.25">
      <c r="A13" s="3" t="s">
        <v>187</v>
      </c>
      <c r="B13" s="8" t="s">
        <v>94</v>
      </c>
      <c r="C13" s="3" t="s">
        <v>338</v>
      </c>
      <c r="D13" s="90">
        <f t="shared" ref="D13:G16" si="0">IF($C4="Affected fraction",D4,IF(D4=1,1,D4*0.9))</f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ht="13.25" customHeight="1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ht="13.25" customHeight="1" x14ac:dyDescent="0.25">
      <c r="A15" s="3" t="s">
        <v>186</v>
      </c>
      <c r="B15" s="8" t="s">
        <v>94</v>
      </c>
      <c r="C15" s="3" t="s">
        <v>338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ht="13.25" customHeight="1" x14ac:dyDescent="0.25">
      <c r="C16" s="8" t="s">
        <v>339</v>
      </c>
      <c r="D16" s="90">
        <f t="shared" si="0"/>
        <v>0.53100000000000003</v>
      </c>
      <c r="E16" s="90">
        <f t="shared" si="0"/>
        <v>0.53100000000000003</v>
      </c>
      <c r="F16" s="90">
        <f t="shared" si="0"/>
        <v>0.53100000000000003</v>
      </c>
      <c r="G16" s="90">
        <f t="shared" si="0"/>
        <v>0.53100000000000003</v>
      </c>
    </row>
    <row r="18" spans="1:7" s="92" customFormat="1" ht="13" customHeight="1" x14ac:dyDescent="0.3">
      <c r="A18" s="92" t="s">
        <v>333</v>
      </c>
    </row>
    <row r="19" spans="1:7" ht="13" customHeight="1" x14ac:dyDescent="0.3">
      <c r="A19" s="1" t="s">
        <v>156</v>
      </c>
      <c r="B19" s="1" t="s">
        <v>336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ht="13.25" customHeight="1" x14ac:dyDescent="0.25">
      <c r="A20" s="3" t="s">
        <v>168</v>
      </c>
      <c r="B20" s="8" t="s">
        <v>94</v>
      </c>
      <c r="C20" s="3" t="s">
        <v>338</v>
      </c>
      <c r="D20" s="90">
        <f>IF($C2="Affected fraction",D2,IF(D2=1,1,D2*1.05))</f>
        <v>1</v>
      </c>
      <c r="E20" s="90">
        <f>IF($C2="Affected fraction",E2,IF(E2=1,1,E2*1.05))</f>
        <v>1</v>
      </c>
      <c r="F20" s="90">
        <f>IF($C2="Affected fraction",F2,IF(F2=1,1,F2*1.05))</f>
        <v>1</v>
      </c>
      <c r="G20" s="90">
        <f>IF($C2="Affected fraction",G2,IF(G2=1,1,G2*1.05))</f>
        <v>1</v>
      </c>
    </row>
    <row r="21" spans="1:7" ht="13.25" customHeight="1" x14ac:dyDescent="0.25">
      <c r="C21" s="8" t="s">
        <v>339</v>
      </c>
      <c r="D21" s="90">
        <v>0.98</v>
      </c>
      <c r="E21" s="90">
        <v>0.98</v>
      </c>
      <c r="F21" s="90">
        <v>0.98</v>
      </c>
      <c r="G21" s="90">
        <v>0.98</v>
      </c>
    </row>
    <row r="22" spans="1:7" ht="13.25" customHeight="1" x14ac:dyDescent="0.25">
      <c r="A22" s="3" t="s">
        <v>187</v>
      </c>
      <c r="B22" s="8" t="s">
        <v>94</v>
      </c>
      <c r="C22" s="3" t="s">
        <v>338</v>
      </c>
      <c r="D22" s="90">
        <f>IF($C4="Affected fraction",D4,IF(D4=1,1,D4*1.05))</f>
        <v>1</v>
      </c>
      <c r="E22" s="90">
        <f>IF($C4="Affected fraction",E4,IF(E4=1,1,E4*1.05))</f>
        <v>1</v>
      </c>
      <c r="F22" s="90">
        <f>IF($C4="Affected fraction",F4,IF(F4=1,1,F4*1.05))</f>
        <v>1</v>
      </c>
      <c r="G22" s="90">
        <f>IF($C4="Affected fraction",G4,IF(G4=1,1,G4*1.05))</f>
        <v>1</v>
      </c>
    </row>
    <row r="23" spans="1:7" ht="13.25" customHeight="1" x14ac:dyDescent="0.25">
      <c r="C23" s="8" t="s">
        <v>339</v>
      </c>
      <c r="D23" s="90">
        <f>IF($C5="Affected fraction",D5,IF(D5=1,1,D5*1.1))</f>
        <v>0.64900000000000002</v>
      </c>
      <c r="E23" s="90">
        <f>IF($C5="Affected fraction",E5,IF(E5=1,1,E5*1.1))</f>
        <v>0.64900000000000002</v>
      </c>
      <c r="F23" s="90">
        <f>IF($C5="Affected fraction",F5,IF(F5=1,1,F5*1.1))</f>
        <v>0.64900000000000002</v>
      </c>
      <c r="G23" s="90">
        <f>IF($C5="Affected fraction",G5,IF(G5=1,1,G5*1.1))</f>
        <v>0.64900000000000002</v>
      </c>
    </row>
    <row r="24" spans="1:7" ht="13.25" customHeight="1" x14ac:dyDescent="0.25">
      <c r="A24" s="3" t="s">
        <v>186</v>
      </c>
      <c r="B24" s="8" t="s">
        <v>94</v>
      </c>
      <c r="C24" s="3" t="s">
        <v>338</v>
      </c>
      <c r="D24" s="90">
        <f>IF($C6="Affected fraction",D6,IF(D6=1,1,D6*1.05))</f>
        <v>1</v>
      </c>
      <c r="E24" s="90">
        <f>IF($C6="Affected fraction",E6,IF(E6=1,1,E6*1.05))</f>
        <v>1</v>
      </c>
      <c r="F24" s="90">
        <f>IF($C6="Affected fraction",F6,IF(F6=1,1,F6*1.05))</f>
        <v>1</v>
      </c>
      <c r="G24" s="90">
        <f>IF($C6="Affected fraction",G6,IF(G6=1,1,G6*1.05))</f>
        <v>1</v>
      </c>
    </row>
    <row r="25" spans="1:7" ht="13.25" customHeight="1" x14ac:dyDescent="0.25">
      <c r="C25" s="8" t="s">
        <v>339</v>
      </c>
      <c r="D25" s="90">
        <f>IF($C7="Affected fraction",D7,IF(D7=1,1,D7*1.1))</f>
        <v>0.64900000000000002</v>
      </c>
      <c r="E25" s="90">
        <f>IF($C7="Affected fraction",E7,IF(E7=1,1,E7*1.1))</f>
        <v>0.64900000000000002</v>
      </c>
      <c r="F25" s="90">
        <f>IF($C7="Affected fraction",F7,IF(F7=1,1,F7*1.1))</f>
        <v>0.64900000000000002</v>
      </c>
      <c r="G25" s="90">
        <f>IF($C7="Affected fraction",G7,IF(G7=1,1,G7*1.1))</f>
        <v>0.64900000000000002</v>
      </c>
    </row>
  </sheetData>
  <sheetProtection algorithmName="SHA-512" hashValue="SSCu+FR+SN+siPEoAiap+3g3Z0SGqFtJklZqGSbEJvGKfBY2J7BHBpfevFvAYPx8Hf15tBeGKZdJ4ehQEpyLRg==" saltValue="A0PmMaoo+OfazXy7x4UxVw==" spinCount="100000" sheet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lastModifiedBy>Tharindu Wickramaarachchi</cp:lastModifiedBy>
  <dcterms:created xsi:type="dcterms:W3CDTF">2017-08-01T10:42:13Z</dcterms:created>
  <dcterms:modified xsi:type="dcterms:W3CDTF">2024-03-18T00:20:41Z</dcterms:modified>
</cp:coreProperties>
</file>