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133D2BF-868F-4797-A24B-24BF6434CACF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<sst xmlns="http://schemas.openxmlformats.org/spreadsheetml/2006/main" count="2092" uniqueCount="341">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</sst>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114355421</v>
      </c>
    </row>
    <row r="8" spans="1:3" ht="15" customHeight="1" x14ac:dyDescent="0.25">
      <c r="B8" s="5" t="s">
        <v>8</v>
      </c>
      <c r="C8" s="44">
        <v>0.21199999999999999</v>
      </c>
    </row>
    <row r="9" spans="1:3" ht="15" customHeight="1" x14ac:dyDescent="0.25">
      <c r="B9" s="5" t="s">
        <v>9</v>
      </c>
      <c r="C9" s="45">
        <v>0.1323</v>
      </c>
    </row>
    <row r="10" spans="1:3" ht="15" customHeight="1" x14ac:dyDescent="0.25">
      <c r="B10" s="5" t="s">
        <v>10</v>
      </c>
      <c r="C10" s="45">
        <v>0.62193199157714796</v>
      </c>
    </row>
    <row r="11" spans="1:3" ht="15" customHeight="1" x14ac:dyDescent="0.25">
      <c r="B11" s="5" t="s">
        <v>11</v>
      </c>
      <c r="C11" s="45">
        <v>0.51200000000000001</v>
      </c>
    </row>
    <row r="12" spans="1:3" ht="15" customHeight="1" x14ac:dyDescent="0.25">
      <c r="B12" s="5" t="s">
        <v>12</v>
      </c>
      <c r="C12" s="45">
        <v>0.73199999999999998</v>
      </c>
    </row>
    <row r="13" spans="1:3" ht="15" customHeight="1" x14ac:dyDescent="0.25">
      <c r="B13" s="5" t="s">
        <v>13</v>
      </c>
      <c r="C13" s="45">
        <v>0.28000000000000003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</v>
      </c>
    </row>
    <row r="24" spans="1:3" ht="15" customHeight="1" x14ac:dyDescent="0.25">
      <c r="B24" s="15" t="s">
        <v>22</v>
      </c>
      <c r="C24" s="45">
        <v>0.6835</v>
      </c>
    </row>
    <row r="25" spans="1:3" ht="15" customHeight="1" x14ac:dyDescent="0.25">
      <c r="B25" s="15" t="s">
        <v>23</v>
      </c>
      <c r="C25" s="45">
        <v>0.1807</v>
      </c>
    </row>
    <row r="26" spans="1:3" ht="15" customHeight="1" x14ac:dyDescent="0.25">
      <c r="B26" s="15" t="s">
        <v>24</v>
      </c>
      <c r="C26" s="45">
        <v>2.0799999999999999E-2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0.38887065114328001</v>
      </c>
    </row>
    <row r="30" spans="1:3" ht="14.25" customHeight="1" x14ac:dyDescent="0.25">
      <c r="B30" s="25" t="s">
        <v>27</v>
      </c>
      <c r="C30" s="99">
        <v>6.7663917710704194E-2</v>
      </c>
    </row>
    <row r="31" spans="1:3" ht="14.25" customHeight="1" x14ac:dyDescent="0.25">
      <c r="B31" s="25" t="s">
        <v>28</v>
      </c>
      <c r="C31" s="99">
        <v>9.91938403811988E-2</v>
      </c>
    </row>
    <row r="32" spans="1:3" ht="14.25" customHeight="1" x14ac:dyDescent="0.25">
      <c r="B32" s="25" t="s">
        <v>29</v>
      </c>
      <c r="C32" s="99">
        <v>0.44427159076481698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21.6603212522026</v>
      </c>
    </row>
    <row r="38" spans="1:5" ht="15" customHeight="1" x14ac:dyDescent="0.25">
      <c r="B38" s="11" t="s">
        <v>34</v>
      </c>
      <c r="C38" s="43">
        <v>28.256772668291301</v>
      </c>
      <c r="D38" s="12"/>
      <c r="E38" s="13"/>
    </row>
    <row r="39" spans="1:5" ht="15" customHeight="1" x14ac:dyDescent="0.25">
      <c r="B39" s="11" t="s">
        <v>35</v>
      </c>
      <c r="C39" s="43">
        <v>34.274759355621804</v>
      </c>
      <c r="D39" s="12"/>
      <c r="E39" s="12"/>
    </row>
    <row r="40" spans="1:5" ht="15" customHeight="1" x14ac:dyDescent="0.25">
      <c r="B40" s="11" t="s">
        <v>36</v>
      </c>
      <c r="C40" s="100">
        <v>1.45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13.927570599999999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1.6473499999999999E-2</v>
      </c>
      <c r="D45" s="12"/>
    </row>
    <row r="46" spans="1:5" ht="15.75" customHeight="1" x14ac:dyDescent="0.25">
      <c r="B46" s="11" t="s">
        <v>41</v>
      </c>
      <c r="C46" s="45">
        <v>0.1086968</v>
      </c>
      <c r="D46" s="12"/>
    </row>
    <row r="47" spans="1:5" ht="15.75" customHeight="1" x14ac:dyDescent="0.25">
      <c r="B47" s="11" t="s">
        <v>42</v>
      </c>
      <c r="C47" s="45">
        <v>0.36538809999999999</v>
      </c>
      <c r="D47" s="12"/>
      <c r="E47" s="13"/>
    </row>
    <row r="48" spans="1:5" ht="15" customHeight="1" x14ac:dyDescent="0.25">
      <c r="B48" s="11" t="s">
        <v>43</v>
      </c>
      <c r="C48" s="46">
        <v>0.50944159999999994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0.45378299999999999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9.4872229242324913E-2</v>
      </c>
      <c r="C2" s="98">
        <v>0.95</v>
      </c>
      <c r="D2" s="56">
        <v>42.501437539526727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39.532089276751883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170.9591808116555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1.4605445677891711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12.664388720547789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12.664388720547789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12.664388720547789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12.664388720547789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12.664388720547789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12.664388720547789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0.19651487566395501</v>
      </c>
      <c r="C16" s="98">
        <v>0.95</v>
      </c>
      <c r="D16" s="56">
        <v>0.37115452044313663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4.0144932296368099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4.0144932296368099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0.26009565350000002</v>
      </c>
      <c r="C21" s="98">
        <v>0.95</v>
      </c>
      <c r="D21" s="56">
        <v>11.931837010261511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21.672337451693281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6.6000000000000003E-2</v>
      </c>
      <c r="C23" s="98">
        <v>0.95</v>
      </c>
      <c r="D23" s="56">
        <v>4.0619684601961064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0.59067323983706999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0.12166742906570401</v>
      </c>
      <c r="C27" s="98">
        <v>0.95</v>
      </c>
      <c r="D27" s="56">
        <v>18.225977519614752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0.50576569999999998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78.207761686108483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5.5168582768474046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0.53397759999999994</v>
      </c>
      <c r="C32" s="98">
        <v>0.95</v>
      </c>
      <c r="D32" s="56">
        <v>0.76115541772848727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0.595434482675674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0.56000000000000005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0.202744916081428</v>
      </c>
      <c r="C38" s="98">
        <v>0.95</v>
      </c>
      <c r="D38" s="56">
        <v>1.5696029987704641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0.19870309999999999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0.43244217932224405</v>
      </c>
      <c r="C3" s="21">
        <f>frac_mam_1_5months * 2.6</f>
        <v>0.43244217932224405</v>
      </c>
      <c r="D3" s="21">
        <f>frac_mam_6_11months * 2.6</f>
        <v>0.42419154345989202</v>
      </c>
      <c r="E3" s="21">
        <f>frac_mam_12_23months * 2.6</f>
        <v>0.36336329877376622</v>
      </c>
      <c r="F3" s="21">
        <f>frac_mam_24_59months * 2.6</f>
        <v>0.30784431993961359</v>
      </c>
    </row>
    <row r="4" spans="1:6" ht="15.75" customHeight="1" x14ac:dyDescent="0.25">
      <c r="A4" s="3" t="s">
        <v>205</v>
      </c>
      <c r="B4" s="21">
        <f>frac_sam_1month * 2.6</f>
        <v>0.37773870229721079</v>
      </c>
      <c r="C4" s="21">
        <f>frac_sam_1_5months * 2.6</f>
        <v>0.37773870229721079</v>
      </c>
      <c r="D4" s="21">
        <f>frac_sam_6_11months * 2.6</f>
        <v>0.2799910530447966</v>
      </c>
      <c r="E4" s="21">
        <f>frac_sam_12_23months * 2.6</f>
        <v>0.20391173511743557</v>
      </c>
      <c r="F4" s="21">
        <f>frac_sam_24_59months * 2.6</f>
        <v>0.16102646738290788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0.21199999999999999</v>
      </c>
      <c r="E2" s="60">
        <f>food_insecure</f>
        <v>0.21199999999999999</v>
      </c>
      <c r="F2" s="60">
        <f>food_insecure</f>
        <v>0.21199999999999999</v>
      </c>
      <c r="G2" s="60">
        <f>food_insecure</f>
        <v>0.21199999999999999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0.21199999999999999</v>
      </c>
      <c r="F5" s="60">
        <f>food_insecure</f>
        <v>0.21199999999999999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0.21199999999999999</v>
      </c>
      <c r="F8" s="60">
        <f>food_insecure</f>
        <v>0.21199999999999999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0.21199999999999999</v>
      </c>
      <c r="F9" s="60">
        <f>food_insecure</f>
        <v>0.21199999999999999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0.73199999999999998</v>
      </c>
      <c r="E10" s="60">
        <f>IF(ISBLANK(comm_deliv), frac_children_health_facility,1)</f>
        <v>0.73199999999999998</v>
      </c>
      <c r="F10" s="60">
        <f>IF(ISBLANK(comm_deliv), frac_children_health_facility,1)</f>
        <v>0.73199999999999998</v>
      </c>
      <c r="G10" s="60">
        <f>IF(ISBLANK(comm_deliv), frac_children_health_facility,1)</f>
        <v>0.73199999999999998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0.21199999999999999</v>
      </c>
      <c r="I15" s="60">
        <f>food_insecure</f>
        <v>0.21199999999999999</v>
      </c>
      <c r="J15" s="60">
        <f>food_insecure</f>
        <v>0.21199999999999999</v>
      </c>
      <c r="K15" s="60">
        <f>food_insecure</f>
        <v>0.21199999999999999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0.51200000000000001</v>
      </c>
      <c r="I18" s="60">
        <f>frac_PW_health_facility</f>
        <v>0.51200000000000001</v>
      </c>
      <c r="J18" s="60">
        <f>frac_PW_health_facility</f>
        <v>0.51200000000000001</v>
      </c>
      <c r="K18" s="60">
        <f>frac_PW_health_facility</f>
        <v>0.51200000000000001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0.1323</v>
      </c>
      <c r="I19" s="60">
        <f>frac_malaria_risk</f>
        <v>0.1323</v>
      </c>
      <c r="J19" s="60">
        <f>frac_malaria_risk</f>
        <v>0.1323</v>
      </c>
      <c r="K19" s="60">
        <f>frac_malaria_risk</f>
        <v>0.1323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0.28000000000000003</v>
      </c>
      <c r="M24" s="60">
        <f>famplan_unmet_need</f>
        <v>0.28000000000000003</v>
      </c>
      <c r="N24" s="60">
        <f>famplan_unmet_need</f>
        <v>0.28000000000000003</v>
      </c>
      <c r="O24" s="60">
        <f>famplan_unmet_need</f>
        <v>0.28000000000000003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0.20208491186218289</v>
      </c>
      <c r="M25" s="60">
        <f>(1-food_insecure)*(0.49)+food_insecure*(0.7)</f>
        <v>0.53452</v>
      </c>
      <c r="N25" s="60">
        <f>(1-food_insecure)*(0.49)+food_insecure*(0.7)</f>
        <v>0.53452</v>
      </c>
      <c r="O25" s="60">
        <f>(1-food_insecure)*(0.49)+food_insecure*(0.7)</f>
        <v>0.53452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8.6607819369506941E-2</v>
      </c>
      <c r="M26" s="60">
        <f>(1-food_insecure)*(0.21)+food_insecure*(0.3)</f>
        <v>0.22907999999999998</v>
      </c>
      <c r="N26" s="60">
        <f>(1-food_insecure)*(0.21)+food_insecure*(0.3)</f>
        <v>0.22907999999999998</v>
      </c>
      <c r="O26" s="60">
        <f>(1-food_insecure)*(0.21)+food_insecure*(0.3)</f>
        <v>0.22907999999999998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8.9375277191162228E-2</v>
      </c>
      <c r="M27" s="60">
        <f>(1-food_insecure)*(0.3)</f>
        <v>0.2364</v>
      </c>
      <c r="N27" s="60">
        <f>(1-food_insecure)*(0.3)</f>
        <v>0.2364</v>
      </c>
      <c r="O27" s="60">
        <f>(1-food_insecure)*(0.3)</f>
        <v>0.2364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0.62193199157714796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0.1323</v>
      </c>
      <c r="D34" s="60">
        <f t="shared" si="3"/>
        <v>0.1323</v>
      </c>
      <c r="E34" s="60">
        <f t="shared" si="3"/>
        <v>0.1323</v>
      </c>
      <c r="F34" s="60">
        <f t="shared" si="3"/>
        <v>0.1323</v>
      </c>
      <c r="G34" s="60">
        <f t="shared" si="3"/>
        <v>0.1323</v>
      </c>
      <c r="H34" s="60">
        <f t="shared" si="3"/>
        <v>0.1323</v>
      </c>
      <c r="I34" s="60">
        <f t="shared" si="3"/>
        <v>0.1323</v>
      </c>
      <c r="J34" s="60">
        <f t="shared" si="3"/>
        <v>0.1323</v>
      </c>
      <c r="K34" s="60">
        <f t="shared" si="3"/>
        <v>0.1323</v>
      </c>
      <c r="L34" s="60">
        <f t="shared" si="3"/>
        <v>0.1323</v>
      </c>
      <c r="M34" s="60">
        <f t="shared" si="3"/>
        <v>0.1323</v>
      </c>
      <c r="N34" s="60">
        <f t="shared" si="3"/>
        <v>0.1323</v>
      </c>
      <c r="O34" s="60">
        <f t="shared" si="3"/>
        <v>0.1323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24957695.295400001</v>
      </c>
      <c r="C2" s="49">
        <v>59567000</v>
      </c>
      <c r="D2" s="49">
        <v>113886000</v>
      </c>
      <c r="E2" s="49">
        <v>104436000</v>
      </c>
      <c r="F2" s="49">
        <v>84020000</v>
      </c>
      <c r="G2" s="17">
        <f t="shared" ref="G2:G11" si="0">C2+D2+E2+F2</f>
        <v>361909000</v>
      </c>
      <c r="H2" s="17">
        <f t="shared" ref="H2:H11" si="1">(B2 + stillbirth*B2/(1000-stillbirth))/(1-abortion)</f>
        <v>28761596.547622088</v>
      </c>
      <c r="I2" s="17">
        <f t="shared" ref="I2:I11" si="2">G2-H2</f>
        <v>333147403.45237792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24871390.563999999</v>
      </c>
      <c r="C3" s="50">
        <v>59681000</v>
      </c>
      <c r="D3" s="50">
        <v>114524000</v>
      </c>
      <c r="E3" s="50">
        <v>105540000</v>
      </c>
      <c r="F3" s="50">
        <v>85971000</v>
      </c>
      <c r="G3" s="17">
        <f t="shared" si="0"/>
        <v>365716000</v>
      </c>
      <c r="H3" s="17">
        <f t="shared" si="1"/>
        <v>28662137.770066805</v>
      </c>
      <c r="I3" s="17">
        <f t="shared" si="2"/>
        <v>337053862.2299332</v>
      </c>
    </row>
    <row r="4" spans="1:9" ht="15.75" customHeight="1" x14ac:dyDescent="0.25">
      <c r="A4" s="5">
        <f t="shared" si="3"/>
        <v>2023</v>
      </c>
      <c r="B4" s="49">
        <v>24774091.577199999</v>
      </c>
      <c r="C4" s="50">
        <v>59748000</v>
      </c>
      <c r="D4" s="50">
        <v>115170000</v>
      </c>
      <c r="E4" s="50">
        <v>106506000</v>
      </c>
      <c r="F4" s="50">
        <v>88002000</v>
      </c>
      <c r="G4" s="17">
        <f t="shared" si="0"/>
        <v>369426000</v>
      </c>
      <c r="H4" s="17">
        <f t="shared" si="1"/>
        <v>28550009.059073616</v>
      </c>
      <c r="I4" s="17">
        <f t="shared" si="2"/>
        <v>340875990.94092637</v>
      </c>
    </row>
    <row r="5" spans="1:9" ht="15.75" customHeight="1" x14ac:dyDescent="0.25">
      <c r="A5" s="5">
        <f t="shared" si="3"/>
        <v>2024</v>
      </c>
      <c r="B5" s="49">
        <v>24665684.802000001</v>
      </c>
      <c r="C5" s="50">
        <v>59661000</v>
      </c>
      <c r="D5" s="50">
        <v>115750000</v>
      </c>
      <c r="E5" s="50">
        <v>107359000</v>
      </c>
      <c r="F5" s="50">
        <v>90040000</v>
      </c>
      <c r="G5" s="17">
        <f t="shared" si="0"/>
        <v>372810000</v>
      </c>
      <c r="H5" s="17">
        <f t="shared" si="1"/>
        <v>28425079.577628031</v>
      </c>
      <c r="I5" s="17">
        <f t="shared" si="2"/>
        <v>344384920.42237198</v>
      </c>
    </row>
    <row r="6" spans="1:9" ht="15.75" customHeight="1" x14ac:dyDescent="0.25">
      <c r="A6" s="5">
        <f t="shared" si="3"/>
        <v>2025</v>
      </c>
      <c r="B6" s="49">
        <v>24546072.903000001</v>
      </c>
      <c r="C6" s="50">
        <v>59363000</v>
      </c>
      <c r="D6" s="50">
        <v>116225000</v>
      </c>
      <c r="E6" s="50">
        <v>108123000</v>
      </c>
      <c r="F6" s="50">
        <v>92034000</v>
      </c>
      <c r="G6" s="17">
        <f t="shared" si="0"/>
        <v>375745000</v>
      </c>
      <c r="H6" s="17">
        <f t="shared" si="1"/>
        <v>28287237.155055989</v>
      </c>
      <c r="I6" s="17">
        <f t="shared" si="2"/>
        <v>347457762.844944</v>
      </c>
    </row>
    <row r="7" spans="1:9" ht="15.75" customHeight="1" x14ac:dyDescent="0.25">
      <c r="A7" s="5">
        <f t="shared" si="3"/>
        <v>2026</v>
      </c>
      <c r="B7" s="49">
        <v>24417275.365200002</v>
      </c>
      <c r="C7" s="50">
        <v>58895000</v>
      </c>
      <c r="D7" s="50">
        <v>116737000</v>
      </c>
      <c r="E7" s="50">
        <v>108899000</v>
      </c>
      <c r="F7" s="50">
        <v>93999000</v>
      </c>
      <c r="G7" s="17">
        <f t="shared" si="0"/>
        <v>378530000</v>
      </c>
      <c r="H7" s="17">
        <f t="shared" si="1"/>
        <v>28138809.07406994</v>
      </c>
      <c r="I7" s="17">
        <f t="shared" si="2"/>
        <v>350391190.92593008</v>
      </c>
    </row>
    <row r="8" spans="1:9" ht="15.75" customHeight="1" x14ac:dyDescent="0.25">
      <c r="A8" s="5">
        <f t="shared" si="3"/>
        <v>2027</v>
      </c>
      <c r="B8" s="49">
        <v>24277259.020799998</v>
      </c>
      <c r="C8" s="50">
        <v>58211000</v>
      </c>
      <c r="D8" s="50">
        <v>117160000</v>
      </c>
      <c r="E8" s="50">
        <v>109588000</v>
      </c>
      <c r="F8" s="50">
        <v>95933000</v>
      </c>
      <c r="G8" s="17">
        <f t="shared" si="0"/>
        <v>380892000</v>
      </c>
      <c r="H8" s="17">
        <f t="shared" si="1"/>
        <v>27977452.283707652</v>
      </c>
      <c r="I8" s="17">
        <f t="shared" si="2"/>
        <v>352914547.71629232</v>
      </c>
    </row>
    <row r="9" spans="1:9" ht="15.75" customHeight="1" x14ac:dyDescent="0.25">
      <c r="A9" s="5">
        <f t="shared" si="3"/>
        <v>2028</v>
      </c>
      <c r="B9" s="49">
        <v>24125888.478999998</v>
      </c>
      <c r="C9" s="50">
        <v>57439000</v>
      </c>
      <c r="D9" s="50">
        <v>117444000</v>
      </c>
      <c r="E9" s="50">
        <v>110217000</v>
      </c>
      <c r="F9" s="50">
        <v>97781000</v>
      </c>
      <c r="G9" s="17">
        <f t="shared" si="0"/>
        <v>382881000</v>
      </c>
      <c r="H9" s="17">
        <f t="shared" si="1"/>
        <v>27803010.757720713</v>
      </c>
      <c r="I9" s="17">
        <f t="shared" si="2"/>
        <v>355077989.24227929</v>
      </c>
    </row>
    <row r="10" spans="1:9" ht="15.75" customHeight="1" x14ac:dyDescent="0.25">
      <c r="A10" s="5">
        <f t="shared" si="3"/>
        <v>2029</v>
      </c>
      <c r="B10" s="49">
        <v>23963033.227600001</v>
      </c>
      <c r="C10" s="50">
        <v>56776000</v>
      </c>
      <c r="D10" s="50">
        <v>117529000</v>
      </c>
      <c r="E10" s="50">
        <v>110826000</v>
      </c>
      <c r="F10" s="50">
        <v>99480000</v>
      </c>
      <c r="G10" s="17">
        <f t="shared" si="0"/>
        <v>384611000</v>
      </c>
      <c r="H10" s="17">
        <f t="shared" si="1"/>
        <v>27615334.092027482</v>
      </c>
      <c r="I10" s="17">
        <f t="shared" si="2"/>
        <v>356995665.90797251</v>
      </c>
    </row>
    <row r="11" spans="1:9" ht="15.75" customHeight="1" x14ac:dyDescent="0.25">
      <c r="A11" s="5">
        <f t="shared" si="3"/>
        <v>2030</v>
      </c>
      <c r="B11" s="49">
        <v>23788663.155000001</v>
      </c>
      <c r="C11" s="50">
        <v>56339000</v>
      </c>
      <c r="D11" s="50">
        <v>117380000</v>
      </c>
      <c r="E11" s="50">
        <v>111437000</v>
      </c>
      <c r="F11" s="50">
        <v>100988000</v>
      </c>
      <c r="G11" s="17">
        <f t="shared" si="0"/>
        <v>386144000</v>
      </c>
      <c r="H11" s="17">
        <f t="shared" si="1"/>
        <v>27414387.585599657</v>
      </c>
      <c r="I11" s="17">
        <f t="shared" si="2"/>
        <v>358729612.41440034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4.3533949387114381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4.3533949387114381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44.336299087538634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44.336299087538634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2.3782792018771062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2.3782792018771062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15.035817364340339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15.035817364340339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0.57785039130860694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0.50732169277144279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0.84954300171952168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0.8094368131639299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0.84954300171952168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0.8094368131639299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0.37693666961658751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0.31276217432345788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0.81354208972120412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0.76647729661107611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0.81354208972120412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0.76647729661107611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0.89852463944868799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0.86946897969501247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0.88617235114605741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0.85415392700416559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0.88617235114605741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0.85415392700416559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0.39039824440832432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0.49879855982185567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0.49879855982185567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0.56200725816543606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0.56200725816543606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0.56200725816543606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0.56200725816543606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0.5549904640813732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0.5549904640813732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0.5549904640813732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0.5549904640813732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0.49904855755515065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0.60755039258830379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0.60755039258830379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0.66622162883845137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0.66622162883845137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0.66622162883845137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0.66622162883845137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0.65986394557823136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0.65986394557823136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0.65986394557823136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0.65986394557823136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0.22622387427306986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0.31239959762845659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0.31239959762845659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0.369396539906232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0.369396539906232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0.369396539906232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0.369396539906232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0.36279263055824906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0.36279263055824906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0.36279263055824906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0.36279263055824906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0.36753594277960117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0.4745296861382074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0.4745296861382074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0.53796396118897272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0.53796396118897272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0.53796396118897272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0.53796396118897272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0.53088350273651297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0.53088350273651297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0.53088350273651297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0.53088350273651297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0.88953484560648832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0.92600151913467765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0.92600151913467765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0.9416376476081163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0.9416376476081163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0.9416376476081163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0.9416376476081163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0.94005395144370052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0.94005395144370052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0.94005395144370052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0.94005395144370052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0.74120613215394682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0.81654006229499465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0.81654006229499465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0.85159902055353565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0.85159902055353565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0.85159902055353565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0.85159902055353565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0.84796655264158116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0.84796655264158116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0.84796655264158116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0.84796655264158116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0.72145220256480092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0.73001963986852969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0.73633167567722269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0.73976133216970907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0.7164159302671006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0.71718715525682786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0.72274613053609105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0.72763250863095341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0.61282437068464313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0.62298694229831852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0.63053489757733605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0.63465790537363753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0.60689422641530411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0.60780024488880924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0.61435317082665608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0.62014587005245903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0.84232039473791975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0.84795371357869642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0.85206723231449777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0.85428936722272808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0.83898173415338206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0.83949431179982636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0.84317490600665557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0.84638992393866963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7.1334933023229864E-3</v>
      </c>
    </row>
    <row r="4" spans="1:8" ht="15.75" customHeight="1" x14ac:dyDescent="0.25">
      <c r="B4" s="19" t="s">
        <v>69</v>
      </c>
      <c r="C4" s="101">
        <v>0.1236259470632976</v>
      </c>
    </row>
    <row r="5" spans="1:8" ht="15.75" customHeight="1" x14ac:dyDescent="0.25">
      <c r="B5" s="19" t="s">
        <v>70</v>
      </c>
      <c r="C5" s="101">
        <v>5.1333366726012998E-2</v>
      </c>
    </row>
    <row r="6" spans="1:8" ht="15.75" customHeight="1" x14ac:dyDescent="0.25">
      <c r="B6" s="19" t="s">
        <v>71</v>
      </c>
      <c r="C6" s="101">
        <v>0.1890203590587059</v>
      </c>
    </row>
    <row r="7" spans="1:8" ht="15.75" customHeight="1" x14ac:dyDescent="0.25">
      <c r="B7" s="19" t="s">
        <v>72</v>
      </c>
      <c r="C7" s="101">
        <v>0.43846498168558418</v>
      </c>
    </row>
    <row r="8" spans="1:8" ht="15.75" customHeight="1" x14ac:dyDescent="0.25">
      <c r="B8" s="19" t="s">
        <v>73</v>
      </c>
      <c r="C8" s="101">
        <v>7.943130021303979E-3</v>
      </c>
    </row>
    <row r="9" spans="1:8" ht="15.75" customHeight="1" x14ac:dyDescent="0.25">
      <c r="B9" s="19" t="s">
        <v>74</v>
      </c>
      <c r="C9" s="101">
        <v>0.11123585798482929</v>
      </c>
    </row>
    <row r="10" spans="1:8" ht="15.75" customHeight="1" x14ac:dyDescent="0.25">
      <c r="B10" s="19" t="s">
        <v>75</v>
      </c>
      <c r="C10" s="101">
        <v>7.12428641579433E-2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0.22684096940516779</v>
      </c>
      <c r="D14" s="55">
        <v>0.22684096940516779</v>
      </c>
      <c r="E14" s="55">
        <v>0.22684096940516779</v>
      </c>
      <c r="F14" s="55">
        <v>0.22684096940516779</v>
      </c>
    </row>
    <row r="15" spans="1:8" ht="15.75" customHeight="1" x14ac:dyDescent="0.25">
      <c r="B15" s="19" t="s">
        <v>82</v>
      </c>
      <c r="C15" s="101">
        <v>0.28937248104088609</v>
      </c>
      <c r="D15" s="101">
        <v>0.28937248104088609</v>
      </c>
      <c r="E15" s="101">
        <v>0.28937248104088609</v>
      </c>
      <c r="F15" s="101">
        <v>0.28937248104088609</v>
      </c>
    </row>
    <row r="16" spans="1:8" ht="15.75" customHeight="1" x14ac:dyDescent="0.25">
      <c r="B16" s="19" t="s">
        <v>83</v>
      </c>
      <c r="C16" s="101">
        <v>4.2642173620457677E-2</v>
      </c>
      <c r="D16" s="101">
        <v>4.2642173620457677E-2</v>
      </c>
      <c r="E16" s="101">
        <v>4.2642173620457677E-2</v>
      </c>
      <c r="F16" s="101">
        <v>4.2642173620457677E-2</v>
      </c>
    </row>
    <row r="17" spans="1:8" ht="15.75" customHeight="1" x14ac:dyDescent="0.25">
      <c r="B17" s="19" t="s">
        <v>84</v>
      </c>
      <c r="C17" s="101">
        <v>5.2127276187801823E-2</v>
      </c>
      <c r="D17" s="101">
        <v>5.2127276187801823E-2</v>
      </c>
      <c r="E17" s="101">
        <v>5.2127276187801823E-2</v>
      </c>
      <c r="F17" s="101">
        <v>5.2127276187801823E-2</v>
      </c>
    </row>
    <row r="18" spans="1:8" ht="15.75" customHeight="1" x14ac:dyDescent="0.25">
      <c r="B18" s="19" t="s">
        <v>85</v>
      </c>
      <c r="C18" s="101">
        <v>3.498236741588545E-3</v>
      </c>
      <c r="D18" s="101">
        <v>3.498236741588545E-3</v>
      </c>
      <c r="E18" s="101">
        <v>3.498236741588545E-3</v>
      </c>
      <c r="F18" s="101">
        <v>3.498236741588545E-3</v>
      </c>
    </row>
    <row r="19" spans="1:8" ht="15.75" customHeight="1" x14ac:dyDescent="0.25">
      <c r="B19" s="19" t="s">
        <v>86</v>
      </c>
      <c r="C19" s="101">
        <v>3.8444770076835719E-3</v>
      </c>
      <c r="D19" s="101">
        <v>3.8444770076835719E-3</v>
      </c>
      <c r="E19" s="101">
        <v>3.8444770076835719E-3</v>
      </c>
      <c r="F19" s="101">
        <v>3.8444770076835719E-3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7.9760441725516024E-2</v>
      </c>
      <c r="D21" s="101">
        <v>7.9760441725516024E-2</v>
      </c>
      <c r="E21" s="101">
        <v>7.9760441725516024E-2</v>
      </c>
      <c r="F21" s="101">
        <v>7.9760441725516024E-2</v>
      </c>
    </row>
    <row r="22" spans="1:8" ht="15.75" customHeight="1" x14ac:dyDescent="0.25">
      <c r="B22" s="19" t="s">
        <v>89</v>
      </c>
      <c r="C22" s="101">
        <v>0.30191394427089863</v>
      </c>
      <c r="D22" s="101">
        <v>0.30191394427089863</v>
      </c>
      <c r="E22" s="101">
        <v>0.30191394427089863</v>
      </c>
      <c r="F22" s="101">
        <v>0.30191394427089863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3.4359752E-2</v>
      </c>
    </row>
    <row r="27" spans="1:8" ht="15.75" customHeight="1" x14ac:dyDescent="0.25">
      <c r="B27" s="19" t="s">
        <v>92</v>
      </c>
      <c r="C27" s="101">
        <v>1.0551130000000001E-3</v>
      </c>
    </row>
    <row r="28" spans="1:8" ht="15.75" customHeight="1" x14ac:dyDescent="0.25">
      <c r="B28" s="19" t="s">
        <v>93</v>
      </c>
      <c r="C28" s="101">
        <v>0.250608724</v>
      </c>
    </row>
    <row r="29" spans="1:8" ht="15.75" customHeight="1" x14ac:dyDescent="0.25">
      <c r="B29" s="19" t="s">
        <v>94</v>
      </c>
      <c r="C29" s="101">
        <v>9.0697442000000003E-2</v>
      </c>
    </row>
    <row r="30" spans="1:8" ht="15.75" customHeight="1" x14ac:dyDescent="0.25">
      <c r="B30" s="19" t="s">
        <v>95</v>
      </c>
      <c r="C30" s="101">
        <v>0.16739261999999999</v>
      </c>
    </row>
    <row r="31" spans="1:8" ht="15.75" customHeight="1" x14ac:dyDescent="0.25">
      <c r="B31" s="19" t="s">
        <v>96</v>
      </c>
      <c r="C31" s="101">
        <v>6.9589346999999982E-2</v>
      </c>
    </row>
    <row r="32" spans="1:8" ht="15.75" customHeight="1" x14ac:dyDescent="0.25">
      <c r="B32" s="19" t="s">
        <v>97</v>
      </c>
      <c r="C32" s="101">
        <v>1.8007848999999999E-2</v>
      </c>
    </row>
    <row r="33" spans="2:3" ht="15.75" customHeight="1" x14ac:dyDescent="0.25">
      <c r="B33" s="19" t="s">
        <v>98</v>
      </c>
      <c r="C33" s="101">
        <v>4.5114976999999987E-2</v>
      </c>
    </row>
    <row r="34" spans="2:3" ht="15.75" customHeight="1" x14ac:dyDescent="0.25">
      <c r="B34" s="19" t="s">
        <v>99</v>
      </c>
      <c r="C34" s="101">
        <v>0.32317417500000001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0.42765772698666105</v>
      </c>
      <c r="D2" s="52">
        <f>IFERROR(1-_xlfn.NORM.DIST(_xlfn.NORM.INV(SUM(D4:D5), 0, 1) + 1, 0, 1, TRUE), "")</f>
        <v>0.42765772698666105</v>
      </c>
      <c r="E2" s="52">
        <f>IFERROR(1-_xlfn.NORM.DIST(_xlfn.NORM.INV(SUM(E4:E5), 0, 1) + 1, 0, 1, TRUE), "")</f>
        <v>0.3969440307427442</v>
      </c>
      <c r="F2" s="52">
        <f>IFERROR(1-_xlfn.NORM.DIST(_xlfn.NORM.INV(SUM(F4:F5), 0, 1) + 1, 0, 1, TRUE), "")</f>
        <v>0.21182496483840985</v>
      </c>
      <c r="G2" s="52">
        <f>IFERROR(1-_xlfn.NORM.DIST(_xlfn.NORM.INV(SUM(G4:G5), 0, 1) + 1, 0, 1, TRUE), "")</f>
        <v>0.21653554642399442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0.36556642891620195</v>
      </c>
      <c r="D3" s="52">
        <f>IFERROR(_xlfn.NORM.DIST(_xlfn.NORM.INV(SUM(D4:D5), 0, 1) + 1, 0, 1, TRUE) - SUM(D4:D5), "")</f>
        <v>0.36556642891620195</v>
      </c>
      <c r="E3" s="52">
        <f>IFERROR(_xlfn.NORM.DIST(_xlfn.NORM.INV(SUM(E4:E5), 0, 1) + 1, 0, 1, TRUE) - SUM(E4:E5), "")</f>
        <v>0.37302196808566679</v>
      </c>
      <c r="F3" s="52">
        <f>IFERROR(_xlfn.NORM.DIST(_xlfn.NORM.INV(SUM(F4:F5), 0, 1) + 1, 0, 1, TRUE) - SUM(F4:F5), "")</f>
        <v>0.36739366118392913</v>
      </c>
      <c r="G3" s="52">
        <f>IFERROR(_xlfn.NORM.DIST(_xlfn.NORM.INV(SUM(G4:G5), 0, 1) + 1, 0, 1, TRUE) - SUM(G4:G5), "")</f>
        <v>0.36899115836421359</v>
      </c>
    </row>
    <row r="4" spans="1:15" ht="15.75" customHeight="1" x14ac:dyDescent="0.25">
      <c r="B4" s="5" t="s">
        <v>104</v>
      </c>
      <c r="C4" s="45">
        <v>0.10171090811491</v>
      </c>
      <c r="D4" s="53">
        <v>0.10171090811491</v>
      </c>
      <c r="E4" s="53">
        <v>0.124386839568615</v>
      </c>
      <c r="F4" s="53">
        <v>0.228345662355423</v>
      </c>
      <c r="G4" s="53">
        <v>0.243984594941139</v>
      </c>
    </row>
    <row r="5" spans="1:15" ht="15.75" customHeight="1" x14ac:dyDescent="0.25">
      <c r="B5" s="5" t="s">
        <v>105</v>
      </c>
      <c r="C5" s="45">
        <v>0.10506493598222701</v>
      </c>
      <c r="D5" s="53">
        <v>0.10506493598222701</v>
      </c>
      <c r="E5" s="53">
        <v>0.10564716160297399</v>
      </c>
      <c r="F5" s="53">
        <v>0.19243571162223799</v>
      </c>
      <c r="G5" s="53">
        <v>0.17048870027065299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0.30548037746425138</v>
      </c>
      <c r="D8" s="52">
        <f>IFERROR(1-_xlfn.NORM.DIST(_xlfn.NORM.INV(SUM(D10:D11), 0, 1) + 1, 0, 1, TRUE), "")</f>
        <v>0.30548037746425138</v>
      </c>
      <c r="E8" s="52">
        <f>IFERROR(1-_xlfn.NORM.DIST(_xlfn.NORM.INV(SUM(E10:E11), 0, 1) + 1, 0, 1, TRUE), "")</f>
        <v>0.348370364029993</v>
      </c>
      <c r="F8" s="52">
        <f>IFERROR(1-_xlfn.NORM.DIST(_xlfn.NORM.INV(SUM(F10:F11), 0, 1) + 1, 0, 1, TRUE), "")</f>
        <v>0.41229139204811616</v>
      </c>
      <c r="G8" s="52">
        <f>IFERROR(1-_xlfn.NORM.DIST(_xlfn.NORM.INV(SUM(G10:G11), 0, 1) + 1, 0, 1, TRUE), "")</f>
        <v>0.46576876938050582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0.38291159114365059</v>
      </c>
      <c r="D9" s="52">
        <f>IFERROR(_xlfn.NORM.DIST(_xlfn.NORM.INV(SUM(D10:D11), 0, 1) + 1, 0, 1, TRUE) - SUM(D10:D11), "")</f>
        <v>0.38291159114365059</v>
      </c>
      <c r="E9" s="52">
        <f>IFERROR(_xlfn.NORM.DIST(_xlfn.NORM.INV(SUM(E10:E11), 0, 1) + 1, 0, 1, TRUE) - SUM(E10:E11), "")</f>
        <v>0.38079017577589602</v>
      </c>
      <c r="F9" s="52">
        <f>IFERROR(_xlfn.NORM.DIST(_xlfn.NORM.INV(SUM(F10:F11), 0, 1) + 1, 0, 1, TRUE) - SUM(F10:F11), "")</f>
        <v>0.36952590260911394</v>
      </c>
      <c r="G9" s="52">
        <f>IFERROR(_xlfn.NORM.DIST(_xlfn.NORM.INV(SUM(G10:G11), 0, 1) + 1, 0, 1, TRUE) - SUM(G10:G11), "")</f>
        <v>0.35389631241852437</v>
      </c>
    </row>
    <row r="10" spans="1:15" ht="15.75" customHeight="1" x14ac:dyDescent="0.25">
      <c r="B10" s="5" t="s">
        <v>109</v>
      </c>
      <c r="C10" s="45">
        <v>0.16632391512394001</v>
      </c>
      <c r="D10" s="53">
        <v>0.16632391512394001</v>
      </c>
      <c r="E10" s="53">
        <v>0.16315059363841999</v>
      </c>
      <c r="F10" s="53">
        <v>0.13975511491298701</v>
      </c>
      <c r="G10" s="53">
        <v>0.118401661515236</v>
      </c>
    </row>
    <row r="11" spans="1:15" ht="15.75" customHeight="1" x14ac:dyDescent="0.25">
      <c r="B11" s="5" t="s">
        <v>110</v>
      </c>
      <c r="C11" s="45">
        <v>0.14528411626815799</v>
      </c>
      <c r="D11" s="53">
        <v>0.14528411626815799</v>
      </c>
      <c r="E11" s="53">
        <v>0.107688866555691</v>
      </c>
      <c r="F11" s="53">
        <v>7.8427590429782909E-2</v>
      </c>
      <c r="G11" s="53">
        <v>6.1933256685733802E-2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0.74456066350000005</v>
      </c>
      <c r="D14" s="54">
        <v>0.75094963539799986</v>
      </c>
      <c r="E14" s="54">
        <v>0.75094963539799986</v>
      </c>
      <c r="F14" s="54">
        <v>0.61297553806000005</v>
      </c>
      <c r="G14" s="54">
        <v>0.61297553806000005</v>
      </c>
      <c r="H14" s="45">
        <v>0.501</v>
      </c>
      <c r="I14" s="55">
        <v>0.501</v>
      </c>
      <c r="J14" s="55">
        <v>0.501</v>
      </c>
      <c r="K14" s="55">
        <v>0.501</v>
      </c>
      <c r="L14" s="45">
        <v>0.51500000000000001</v>
      </c>
      <c r="M14" s="55">
        <v>0.51500000000000001</v>
      </c>
      <c r="N14" s="55">
        <v>0.51500000000000001</v>
      </c>
      <c r="O14" s="55">
        <v>0.51500000000000001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0.33786897156502049</v>
      </c>
      <c r="D15" s="52">
        <f t="shared" si="0"/>
        <v>0.34076817839981055</v>
      </c>
      <c r="E15" s="52">
        <f t="shared" si="0"/>
        <v>0.34076817839981055</v>
      </c>
      <c r="F15" s="52">
        <f t="shared" si="0"/>
        <v>0.27815787858748098</v>
      </c>
      <c r="G15" s="52">
        <f t="shared" si="0"/>
        <v>0.27815787858748098</v>
      </c>
      <c r="H15" s="52">
        <f t="shared" si="0"/>
        <v>0.22734528300000001</v>
      </c>
      <c r="I15" s="52">
        <f t="shared" si="0"/>
        <v>0.22734528300000001</v>
      </c>
      <c r="J15" s="52">
        <f t="shared" si="0"/>
        <v>0.22734528300000001</v>
      </c>
      <c r="K15" s="52">
        <f t="shared" si="0"/>
        <v>0.22734528300000001</v>
      </c>
      <c r="L15" s="52">
        <f t="shared" si="0"/>
        <v>0.233698245</v>
      </c>
      <c r="M15" s="52">
        <f t="shared" si="0"/>
        <v>0.233698245</v>
      </c>
      <c r="N15" s="52">
        <f t="shared" si="0"/>
        <v>0.233698245</v>
      </c>
      <c r="O15" s="52">
        <f t="shared" si="0"/>
        <v>0.233698245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0.72369498014450107</v>
      </c>
      <c r="D2" s="53">
        <v>0.53397759999999994</v>
      </c>
      <c r="E2" s="53"/>
      <c r="F2" s="53"/>
      <c r="G2" s="53"/>
    </row>
    <row r="3" spans="1:7" x14ac:dyDescent="0.25">
      <c r="B3" s="3" t="s">
        <v>120</v>
      </c>
      <c r="C3" s="53">
        <v>0.10231136530637699</v>
      </c>
      <c r="D3" s="53">
        <v>0.20061619999999999</v>
      </c>
      <c r="E3" s="53"/>
      <c r="F3" s="53"/>
      <c r="G3" s="53"/>
    </row>
    <row r="4" spans="1:7" x14ac:dyDescent="0.25">
      <c r="B4" s="3" t="s">
        <v>121</v>
      </c>
      <c r="C4" s="53">
        <v>0.13583396375179299</v>
      </c>
      <c r="D4" s="53">
        <v>0.2202683</v>
      </c>
      <c r="E4" s="53">
        <v>0.92690545320510909</v>
      </c>
      <c r="F4" s="53">
        <v>0.79560357332229603</v>
      </c>
      <c r="G4" s="53"/>
    </row>
    <row r="5" spans="1:7" x14ac:dyDescent="0.25">
      <c r="B5" s="3" t="s">
        <v>122</v>
      </c>
      <c r="C5" s="52">
        <v>3.81596684455872E-2</v>
      </c>
      <c r="D5" s="52">
        <v>4.5137934386730201E-2</v>
      </c>
      <c r="E5" s="52">
        <f>1-SUM(E2:E4)</f>
        <v>7.3094546794890913E-2</v>
      </c>
      <c r="F5" s="52">
        <f>1-SUM(F2:F4)</f>
        <v>0.20439642667770397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2024-03-18T00:20:48Z</dcterms:modified>
</cp:coreProperties>
</file>