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2FB6F79A-B003-45D0-A8F0-F25749438D94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<sst xmlns="http://schemas.openxmlformats.org/spreadsheetml/2006/main" count="2092" uniqueCount="341">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</sst>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376515.01953125</v>
      </c>
    </row>
    <row r="8" spans="1:3" ht="15" customHeight="1" x14ac:dyDescent="0.25">
      <c r="B8" s="5" t="s">
        <v>8</v>
      </c>
      <c r="C8" s="44">
        <v>5.0000000000000001E-3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0.81408699039999999</v>
      </c>
    </row>
    <row r="11" spans="1:3" ht="15" customHeight="1" x14ac:dyDescent="0.25">
      <c r="B11" s="5" t="s">
        <v>11</v>
      </c>
      <c r="C11" s="45">
        <v>0.89599999999999991</v>
      </c>
    </row>
    <row r="12" spans="1:3" ht="15" customHeight="1" x14ac:dyDescent="0.25">
      <c r="B12" s="5" t="s">
        <v>12</v>
      </c>
      <c r="C12" s="45">
        <v>0.70299999999999996</v>
      </c>
    </row>
    <row r="13" spans="1:3" ht="15" customHeight="1" x14ac:dyDescent="0.25">
      <c r="B13" s="5" t="s">
        <v>13</v>
      </c>
      <c r="C13" s="45">
        <v>0.317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7.1399999999999991E-2</v>
      </c>
    </row>
    <row r="24" spans="1:3" ht="15" customHeight="1" x14ac:dyDescent="0.25">
      <c r="B24" s="15" t="s">
        <v>22</v>
      </c>
      <c r="C24" s="45">
        <v>0.52029999999999998</v>
      </c>
    </row>
    <row r="25" spans="1:3" ht="15" customHeight="1" x14ac:dyDescent="0.25">
      <c r="B25" s="15" t="s">
        <v>23</v>
      </c>
      <c r="C25" s="45">
        <v>0.36659999999999998</v>
      </c>
    </row>
    <row r="26" spans="1:3" ht="15" customHeight="1" x14ac:dyDescent="0.25">
      <c r="B26" s="15" t="s">
        <v>24</v>
      </c>
      <c r="C26" s="45">
        <v>4.1700000000000001E-2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8.1362855927762894</v>
      </c>
    </row>
    <row r="38" spans="1:5" ht="15" customHeight="1" x14ac:dyDescent="0.25">
      <c r="B38" s="11" t="s">
        <v>34</v>
      </c>
      <c r="C38" s="43">
        <v>13.4465395041529</v>
      </c>
      <c r="D38" s="12"/>
      <c r="E38" s="13"/>
    </row>
    <row r="39" spans="1:5" ht="15" customHeight="1" x14ac:dyDescent="0.25">
      <c r="B39" s="11" t="s">
        <v>35</v>
      </c>
      <c r="C39" s="43">
        <v>15.630880923074001</v>
      </c>
      <c r="D39" s="12"/>
      <c r="E39" s="12"/>
    </row>
    <row r="40" spans="1:5" ht="15" customHeight="1" x14ac:dyDescent="0.25">
      <c r="B40" s="11" t="s">
        <v>36</v>
      </c>
      <c r="C40" s="100">
        <v>0.45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5.230393168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4.8123999999999997E-3</v>
      </c>
      <c r="D45" s="12"/>
    </row>
    <row r="46" spans="1:5" ht="15.75" customHeight="1" x14ac:dyDescent="0.25">
      <c r="B46" s="11" t="s">
        <v>41</v>
      </c>
      <c r="C46" s="45">
        <v>5.6891800000000013E-2</v>
      </c>
      <c r="D46" s="12"/>
    </row>
    <row r="47" spans="1:5" ht="15.75" customHeight="1" x14ac:dyDescent="0.25">
      <c r="B47" s="11" t="s">
        <v>42</v>
      </c>
      <c r="C47" s="45">
        <v>9.0186700000000009E-2</v>
      </c>
      <c r="D47" s="12"/>
      <c r="E47" s="13"/>
    </row>
    <row r="48" spans="1:5" ht="15" customHeight="1" x14ac:dyDescent="0.25">
      <c r="B48" s="11" t="s">
        <v>43</v>
      </c>
      <c r="C48" s="46">
        <v>0.84810910000000006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0.58909100000000003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5.3733958999999998E-2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0.529396294657698</v>
      </c>
      <c r="C2" s="98">
        <v>0.95</v>
      </c>
      <c r="D2" s="56">
        <v>55.159498129923833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39.815804482761187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369.40825523463701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2.421950972929686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12.948103926557099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12.948103926557099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12.948103926557099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12.948103926557099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12.948103926557099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12.948103926557099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0.62215034013593407</v>
      </c>
      <c r="C16" s="98">
        <v>0.95</v>
      </c>
      <c r="D16" s="56">
        <v>0.65486972645244557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8.5297262743193443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8.5297262743193443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0.50568460000000004</v>
      </c>
      <c r="C21" s="98">
        <v>0.95</v>
      </c>
      <c r="D21" s="56">
        <v>19.502352360317879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22.31069666521422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8.8149681090000001E-2</v>
      </c>
      <c r="C23" s="98">
        <v>0.95</v>
      </c>
      <c r="D23" s="56">
        <v>4.2392904639519244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0.86140611357519803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0.55257206113936497</v>
      </c>
      <c r="C27" s="98">
        <v>0.95</v>
      </c>
      <c r="D27" s="56">
        <v>18.500074668290559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0.58242249999999995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107.0978840973747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0.56750055122199738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0.47777259999999999</v>
      </c>
      <c r="C32" s="98">
        <v>0.95</v>
      </c>
      <c r="D32" s="56">
        <v>1.3995185494692861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0.58479392767034499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0.83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0.16494010000000001</v>
      </c>
      <c r="C38" s="98">
        <v>0.95</v>
      </c>
      <c r="D38" s="56">
        <v>2.715482431759646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0.39210790000000001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6.9472197599999994E-2</v>
      </c>
      <c r="C3" s="21">
        <f>frac_mam_1_5months * 2.6</f>
        <v>6.9472197599999994E-2</v>
      </c>
      <c r="D3" s="21">
        <f>frac_mam_6_11months * 2.6</f>
        <v>7.4787765000000001E-3</v>
      </c>
      <c r="E3" s="21">
        <f>frac_mam_12_23months * 2.6</f>
        <v>6.7163199999999996E-3</v>
      </c>
      <c r="F3" s="21">
        <f>frac_mam_24_59months * 2.6</f>
        <v>9.9502270400000006E-3</v>
      </c>
    </row>
    <row r="4" spans="1:6" ht="15.75" customHeight="1" x14ac:dyDescent="0.25">
      <c r="A4" s="3" t="s">
        <v>205</v>
      </c>
      <c r="B4" s="21">
        <f>frac_sam_1month * 2.6</f>
        <v>1.9541222480000002E-2</v>
      </c>
      <c r="C4" s="21">
        <f>frac_sam_1_5months * 2.6</f>
        <v>1.9541222480000002E-2</v>
      </c>
      <c r="D4" s="21">
        <f>frac_sam_6_11months * 2.6</f>
        <v>1.8036372380000002E-2</v>
      </c>
      <c r="E4" s="21">
        <f>frac_sam_12_23months * 2.6</f>
        <v>1.0243046840000001E-2</v>
      </c>
      <c r="F4" s="21">
        <f>frac_sam_24_59months * 2.6</f>
        <v>4.8529179400000006E-3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5.0000000000000001E-3</v>
      </c>
      <c r="E2" s="60">
        <f>food_insecure</f>
        <v>5.0000000000000001E-3</v>
      </c>
      <c r="F2" s="60">
        <f>food_insecure</f>
        <v>5.0000000000000001E-3</v>
      </c>
      <c r="G2" s="60">
        <f>food_insecure</f>
        <v>5.0000000000000001E-3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5.0000000000000001E-3</v>
      </c>
      <c r="F5" s="60">
        <f>food_insecure</f>
        <v>5.0000000000000001E-3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5.0000000000000001E-3</v>
      </c>
      <c r="F8" s="60">
        <f>food_insecure</f>
        <v>5.0000000000000001E-3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5.0000000000000001E-3</v>
      </c>
      <c r="F9" s="60">
        <f>food_insecure</f>
        <v>5.0000000000000001E-3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0.70299999999999996</v>
      </c>
      <c r="E10" s="60">
        <f>IF(ISBLANK(comm_deliv), frac_children_health_facility,1)</f>
        <v>0.70299999999999996</v>
      </c>
      <c r="F10" s="60">
        <f>IF(ISBLANK(comm_deliv), frac_children_health_facility,1)</f>
        <v>0.70299999999999996</v>
      </c>
      <c r="G10" s="60">
        <f>IF(ISBLANK(comm_deliv), frac_children_health_facility,1)</f>
        <v>0.70299999999999996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5.0000000000000001E-3</v>
      </c>
      <c r="I15" s="60">
        <f>food_insecure</f>
        <v>5.0000000000000001E-3</v>
      </c>
      <c r="J15" s="60">
        <f>food_insecure</f>
        <v>5.0000000000000001E-3</v>
      </c>
      <c r="K15" s="60">
        <f>food_insecure</f>
        <v>5.0000000000000001E-3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0.89599999999999991</v>
      </c>
      <c r="I18" s="60">
        <f>frac_PW_health_facility</f>
        <v>0.89599999999999991</v>
      </c>
      <c r="J18" s="60">
        <f>frac_PW_health_facility</f>
        <v>0.89599999999999991</v>
      </c>
      <c r="K18" s="60">
        <f>frac_PW_health_facility</f>
        <v>0.89599999999999991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0.317</v>
      </c>
      <c r="M24" s="60">
        <f>famplan_unmet_need</f>
        <v>0.317</v>
      </c>
      <c r="N24" s="60">
        <f>famplan_unmet_need</f>
        <v>0.317</v>
      </c>
      <c r="O24" s="60">
        <f>famplan_unmet_need</f>
        <v>0.317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9.1292583364080013E-2</v>
      </c>
      <c r="M25" s="60">
        <f>(1-food_insecure)*(0.49)+food_insecure*(0.7)</f>
        <v>0.49104999999999999</v>
      </c>
      <c r="N25" s="60">
        <f>(1-food_insecure)*(0.49)+food_insecure*(0.7)</f>
        <v>0.49104999999999999</v>
      </c>
      <c r="O25" s="60">
        <f>(1-food_insecure)*(0.49)+food_insecure*(0.7)</f>
        <v>0.49104999999999999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3.9125392870320005E-2</v>
      </c>
      <c r="M26" s="60">
        <f>(1-food_insecure)*(0.21)+food_insecure*(0.3)</f>
        <v>0.21045</v>
      </c>
      <c r="N26" s="60">
        <f>(1-food_insecure)*(0.21)+food_insecure*(0.3)</f>
        <v>0.21045</v>
      </c>
      <c r="O26" s="60">
        <f>(1-food_insecure)*(0.21)+food_insecure*(0.3)</f>
        <v>0.21045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5.5495033365600001E-2</v>
      </c>
      <c r="M27" s="60">
        <f>(1-food_insecure)*(0.3)</f>
        <v>0.29849999999999999</v>
      </c>
      <c r="N27" s="60">
        <f>(1-food_insecure)*(0.3)</f>
        <v>0.29849999999999999</v>
      </c>
      <c r="O27" s="60">
        <f>(1-food_insecure)*(0.3)</f>
        <v>0.29849999999999999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65339.898400000013</v>
      </c>
      <c r="C2" s="49">
        <v>111000</v>
      </c>
      <c r="D2" s="49">
        <v>235000</v>
      </c>
      <c r="E2" s="49">
        <v>282000</v>
      </c>
      <c r="F2" s="49">
        <v>216000</v>
      </c>
      <c r="G2" s="17">
        <f t="shared" ref="G2:G11" si="0">C2+D2+E2+F2</f>
        <v>844000</v>
      </c>
      <c r="H2" s="17">
        <f t="shared" ref="H2:H11" si="1">(B2 + stillbirth*B2/(1000-stillbirth))/(1-abortion)</f>
        <v>74640.282569463467</v>
      </c>
      <c r="I2" s="17">
        <f t="shared" ref="I2:I11" si="2">G2-H2</f>
        <v>769359.71743053652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64272.571800000012</v>
      </c>
      <c r="C3" s="50">
        <v>115000</v>
      </c>
      <c r="D3" s="50">
        <v>228000</v>
      </c>
      <c r="E3" s="50">
        <v>285000</v>
      </c>
      <c r="F3" s="50">
        <v>220000</v>
      </c>
      <c r="G3" s="17">
        <f t="shared" si="0"/>
        <v>848000</v>
      </c>
      <c r="H3" s="17">
        <f t="shared" si="1"/>
        <v>73421.034285203743</v>
      </c>
      <c r="I3" s="17">
        <f t="shared" si="2"/>
        <v>774578.96571479621</v>
      </c>
    </row>
    <row r="4" spans="1:9" ht="15.75" customHeight="1" x14ac:dyDescent="0.25">
      <c r="A4" s="5">
        <f t="shared" si="3"/>
        <v>2023</v>
      </c>
      <c r="B4" s="49">
        <v>63140.796000000009</v>
      </c>
      <c r="C4" s="50">
        <v>121000</v>
      </c>
      <c r="D4" s="50">
        <v>221000</v>
      </c>
      <c r="E4" s="50">
        <v>285000</v>
      </c>
      <c r="F4" s="50">
        <v>222000</v>
      </c>
      <c r="G4" s="17">
        <f t="shared" si="0"/>
        <v>849000</v>
      </c>
      <c r="H4" s="17">
        <f t="shared" si="1"/>
        <v>72128.163197462956</v>
      </c>
      <c r="I4" s="17">
        <f t="shared" si="2"/>
        <v>776871.83680253709</v>
      </c>
    </row>
    <row r="5" spans="1:9" ht="15.75" customHeight="1" x14ac:dyDescent="0.25">
      <c r="A5" s="5">
        <f t="shared" si="3"/>
        <v>2024</v>
      </c>
      <c r="B5" s="49">
        <v>61927.8842</v>
      </c>
      <c r="C5" s="50">
        <v>128000</v>
      </c>
      <c r="D5" s="50">
        <v>217000</v>
      </c>
      <c r="E5" s="50">
        <v>284000</v>
      </c>
      <c r="F5" s="50">
        <v>227000</v>
      </c>
      <c r="G5" s="17">
        <f t="shared" si="0"/>
        <v>856000</v>
      </c>
      <c r="H5" s="17">
        <f t="shared" si="1"/>
        <v>70742.607331893421</v>
      </c>
      <c r="I5" s="17">
        <f t="shared" si="2"/>
        <v>785257.39266810659</v>
      </c>
    </row>
    <row r="6" spans="1:9" ht="15.75" customHeight="1" x14ac:dyDescent="0.25">
      <c r="A6" s="5">
        <f t="shared" si="3"/>
        <v>2025</v>
      </c>
      <c r="B6" s="49">
        <v>60637.248000000007</v>
      </c>
      <c r="C6" s="50">
        <v>136000</v>
      </c>
      <c r="D6" s="50">
        <v>214000</v>
      </c>
      <c r="E6" s="50">
        <v>281000</v>
      </c>
      <c r="F6" s="50">
        <v>232000</v>
      </c>
      <c r="G6" s="17">
        <f t="shared" si="0"/>
        <v>863000</v>
      </c>
      <c r="H6" s="17">
        <f t="shared" si="1"/>
        <v>69268.263890576141</v>
      </c>
      <c r="I6" s="17">
        <f t="shared" si="2"/>
        <v>793731.73610942392</v>
      </c>
    </row>
    <row r="7" spans="1:9" ht="15.75" customHeight="1" x14ac:dyDescent="0.25">
      <c r="A7" s="5">
        <f t="shared" si="3"/>
        <v>2026</v>
      </c>
      <c r="B7" s="49">
        <v>60106.635199999997</v>
      </c>
      <c r="C7" s="50">
        <v>144000</v>
      </c>
      <c r="D7" s="50">
        <v>214000</v>
      </c>
      <c r="E7" s="50">
        <v>275000</v>
      </c>
      <c r="F7" s="50">
        <v>239000</v>
      </c>
      <c r="G7" s="17">
        <f t="shared" si="0"/>
        <v>872000</v>
      </c>
      <c r="H7" s="17">
        <f t="shared" si="1"/>
        <v>68662.124452089105</v>
      </c>
      <c r="I7" s="17">
        <f t="shared" si="2"/>
        <v>803337.87554791092</v>
      </c>
    </row>
    <row r="8" spans="1:9" ht="15.75" customHeight="1" x14ac:dyDescent="0.25">
      <c r="A8" s="5">
        <f t="shared" si="3"/>
        <v>2027</v>
      </c>
      <c r="B8" s="49">
        <v>59536.365600000012</v>
      </c>
      <c r="C8" s="50">
        <v>154000</v>
      </c>
      <c r="D8" s="50">
        <v>216000</v>
      </c>
      <c r="E8" s="50">
        <v>266000</v>
      </c>
      <c r="F8" s="50">
        <v>247000</v>
      </c>
      <c r="G8" s="17">
        <f t="shared" si="0"/>
        <v>883000</v>
      </c>
      <c r="H8" s="17">
        <f t="shared" si="1"/>
        <v>68010.683523543485</v>
      </c>
      <c r="I8" s="17">
        <f t="shared" si="2"/>
        <v>814989.31647645647</v>
      </c>
    </row>
    <row r="9" spans="1:9" ht="15.75" customHeight="1" x14ac:dyDescent="0.25">
      <c r="A9" s="5">
        <f t="shared" si="3"/>
        <v>2028</v>
      </c>
      <c r="B9" s="49">
        <v>58927.431600000011</v>
      </c>
      <c r="C9" s="50">
        <v>163000</v>
      </c>
      <c r="D9" s="50">
        <v>221000</v>
      </c>
      <c r="E9" s="50">
        <v>256000</v>
      </c>
      <c r="F9" s="50">
        <v>256000</v>
      </c>
      <c r="G9" s="17">
        <f t="shared" si="0"/>
        <v>896000</v>
      </c>
      <c r="H9" s="17">
        <f t="shared" si="1"/>
        <v>67315.074761682379</v>
      </c>
      <c r="I9" s="17">
        <f t="shared" si="2"/>
        <v>828684.92523831758</v>
      </c>
    </row>
    <row r="10" spans="1:9" ht="15.75" customHeight="1" x14ac:dyDescent="0.25">
      <c r="A10" s="5">
        <f t="shared" si="3"/>
        <v>2029</v>
      </c>
      <c r="B10" s="49">
        <v>58264.324800000002</v>
      </c>
      <c r="C10" s="50">
        <v>170000</v>
      </c>
      <c r="D10" s="50">
        <v>228000</v>
      </c>
      <c r="E10" s="50">
        <v>245000</v>
      </c>
      <c r="F10" s="50">
        <v>264000</v>
      </c>
      <c r="G10" s="17">
        <f t="shared" si="0"/>
        <v>907000</v>
      </c>
      <c r="H10" s="17">
        <f t="shared" si="1"/>
        <v>66557.582323865339</v>
      </c>
      <c r="I10" s="17">
        <f t="shared" si="2"/>
        <v>840442.41767613462</v>
      </c>
    </row>
    <row r="11" spans="1:9" ht="15.75" customHeight="1" x14ac:dyDescent="0.25">
      <c r="A11" s="5">
        <f t="shared" si="3"/>
        <v>2030</v>
      </c>
      <c r="B11" s="49">
        <v>57581.37000000001</v>
      </c>
      <c r="C11" s="50">
        <v>175000</v>
      </c>
      <c r="D11" s="50">
        <v>237000</v>
      </c>
      <c r="E11" s="50">
        <v>236000</v>
      </c>
      <c r="F11" s="50">
        <v>270000</v>
      </c>
      <c r="G11" s="17">
        <f t="shared" si="0"/>
        <v>918000</v>
      </c>
      <c r="H11" s="17">
        <f t="shared" si="1"/>
        <v>65777.416751184093</v>
      </c>
      <c r="I11" s="17">
        <f t="shared" si="2"/>
        <v>852222.58324881596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3.1988831369945343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3.1988831369945343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9.2284118164441651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9.2284118164441651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2.0710619560188506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2.0710619560188506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5.988904611353381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5.988904611353381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0.62772933400592412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0.61370262669975939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0.8743031276508324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0.86760757020358403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0.8743031276508324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0.86760757020358403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0.42701551027072049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0.412504085437148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0.84313278810953762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0.83509004090527883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0.84313278810953762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0.83509004090527883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0.91602086600724042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0.91132211709085686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0.90557452474976907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0.90035486933270259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0.90557452474976907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0.90035486933270259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0.62207089011585537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0.65326290671213738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0.65326290671213738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0.64187045942903931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0.64187045942903931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0.64187045942903931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0.64187045942903931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0.67589591628854528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0.67589591628854528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0.67589591628854528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0.67589591628854528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0.71913604982927615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0.74559319907762878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0.74559319907762878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0.73600844772967267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0.73600844772967267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0.73600844772967267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0.73600844772967267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0.76437323279924596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0.76437323279924596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0.76437323279924596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0.76437323279924596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0.42903937795445662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0.46239461523689757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0.46239461523689757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0.45001076065903062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0.45001076065903062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0.45001076065903062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0.45001076065903062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0.48771632848519952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0.48771632848519952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0.48771632848519952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0.48771632848519952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0.59897201653871379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0.63093942682459947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0.63093942682459947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0.61924102043406515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0.61924102043406515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0.61924102043406515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0.61924102043406515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0.65425838423418226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0.65425838423418226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0.65425838423418226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0.65425838423418226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0.95391049152541696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0.95949765144606536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0.95949765144606536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0.95751249840671881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0.95751249840671881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0.95751249840671881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0.95751249840671881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0.96326545605936298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0.96326545605936298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0.96326545605936298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0.96326545605936298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0.88040098323244087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0.89390819275379751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0.89390819275379751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0.88907991791913932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0.88907991791913932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0.88907991791913932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0.88907991791913932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0.9031617682661115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0.9031617682661115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0.9031617682661115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0.9031617682661115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0.75046959829518867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0.75057875812668917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0.75114255103927474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0.75153100067543199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0.74679269286434591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0.75134191490939539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0.75139684837497922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0.75116368483757567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0.64763093850505959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0.64776397098276528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0.64845131627524144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0.64892514048850991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0.64315921235997309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0.64869447164591043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0.64876148094648112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0.64847708971851592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0.86116945671974177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0.86123914374163024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0.86159892283950212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0.86184666883976857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0.85881687603247447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0.86172608763715441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0.86176112183614428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0.86161240451106291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1.6385194441076219E-3</v>
      </c>
    </row>
    <row r="4" spans="1:8" ht="15.75" customHeight="1" x14ac:dyDescent="0.25">
      <c r="B4" s="19" t="s">
        <v>69</v>
      </c>
      <c r="C4" s="101">
        <v>0.1118869756131808</v>
      </c>
    </row>
    <row r="5" spans="1:8" ht="15.75" customHeight="1" x14ac:dyDescent="0.25">
      <c r="B5" s="19" t="s">
        <v>70</v>
      </c>
      <c r="C5" s="101">
        <v>5.2863040319249453E-2</v>
      </c>
    </row>
    <row r="6" spans="1:8" ht="15.75" customHeight="1" x14ac:dyDescent="0.25">
      <c r="B6" s="19" t="s">
        <v>71</v>
      </c>
      <c r="C6" s="101">
        <v>0.22337976979282501</v>
      </c>
    </row>
    <row r="7" spans="1:8" ht="15.75" customHeight="1" x14ac:dyDescent="0.25">
      <c r="B7" s="19" t="s">
        <v>72</v>
      </c>
      <c r="C7" s="101">
        <v>0.3004479003120496</v>
      </c>
    </row>
    <row r="8" spans="1:8" ht="15.75" customHeight="1" x14ac:dyDescent="0.25">
      <c r="B8" s="19" t="s">
        <v>73</v>
      </c>
      <c r="C8" s="101">
        <v>2.0953841413432579E-3</v>
      </c>
    </row>
    <row r="9" spans="1:8" ht="15.75" customHeight="1" x14ac:dyDescent="0.25">
      <c r="B9" s="19" t="s">
        <v>74</v>
      </c>
      <c r="C9" s="101">
        <v>0.22485833930304</v>
      </c>
    </row>
    <row r="10" spans="1:8" ht="15.75" customHeight="1" x14ac:dyDescent="0.25">
      <c r="B10" s="19" t="s">
        <v>75</v>
      </c>
      <c r="C10" s="101">
        <v>8.2830071074203995E-2</v>
      </c>
    </row>
    <row r="11" spans="1:8" ht="15.75" customHeight="1" x14ac:dyDescent="0.25">
      <c r="B11" s="27" t="s">
        <v>30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0.117126132164545</v>
      </c>
      <c r="D14" s="55">
        <v>0.117126132164545</v>
      </c>
      <c r="E14" s="55">
        <v>0.117126132164545</v>
      </c>
      <c r="F14" s="55">
        <v>0.117126132164545</v>
      </c>
    </row>
    <row r="15" spans="1:8" ht="15.75" customHeight="1" x14ac:dyDescent="0.25">
      <c r="B15" s="19" t="s">
        <v>82</v>
      </c>
      <c r="C15" s="101">
        <v>0.23830015273909191</v>
      </c>
      <c r="D15" s="101">
        <v>0.23830015273909191</v>
      </c>
      <c r="E15" s="101">
        <v>0.23830015273909191</v>
      </c>
      <c r="F15" s="101">
        <v>0.23830015273909191</v>
      </c>
    </row>
    <row r="16" spans="1:8" ht="15.75" customHeight="1" x14ac:dyDescent="0.25">
      <c r="B16" s="19" t="s">
        <v>83</v>
      </c>
      <c r="C16" s="101">
        <v>2.0149774729921199E-2</v>
      </c>
      <c r="D16" s="101">
        <v>2.0149774729921199E-2</v>
      </c>
      <c r="E16" s="101">
        <v>2.0149774729921199E-2</v>
      </c>
      <c r="F16" s="101">
        <v>2.0149774729921199E-2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4.3258216961886246E-3</v>
      </c>
      <c r="D19" s="101">
        <v>4.3258216961886246E-3</v>
      </c>
      <c r="E19" s="101">
        <v>4.3258216961886246E-3</v>
      </c>
      <c r="F19" s="101">
        <v>4.3258216961886246E-3</v>
      </c>
    </row>
    <row r="20" spans="1:8" ht="15.75" customHeight="1" x14ac:dyDescent="0.25">
      <c r="B20" s="19" t="s">
        <v>87</v>
      </c>
      <c r="C20" s="101">
        <v>1.4769424718398599E-3</v>
      </c>
      <c r="D20" s="101">
        <v>1.4769424718398599E-3</v>
      </c>
      <c r="E20" s="101">
        <v>1.4769424718398599E-3</v>
      </c>
      <c r="F20" s="101">
        <v>1.4769424718398599E-3</v>
      </c>
    </row>
    <row r="21" spans="1:8" ht="15.75" customHeight="1" x14ac:dyDescent="0.25">
      <c r="B21" s="19" t="s">
        <v>88</v>
      </c>
      <c r="C21" s="101">
        <v>0.1487564882759449</v>
      </c>
      <c r="D21" s="101">
        <v>0.1487564882759449</v>
      </c>
      <c r="E21" s="101">
        <v>0.1487564882759449</v>
      </c>
      <c r="F21" s="101">
        <v>0.1487564882759449</v>
      </c>
    </row>
    <row r="22" spans="1:8" ht="15.75" customHeight="1" x14ac:dyDescent="0.25">
      <c r="B22" s="19" t="s">
        <v>89</v>
      </c>
      <c r="C22" s="101">
        <v>0.46986468792246849</v>
      </c>
      <c r="D22" s="101">
        <v>0.46986468792246849</v>
      </c>
      <c r="E22" s="101">
        <v>0.46986468792246849</v>
      </c>
      <c r="F22" s="101">
        <v>0.46986468792246849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4.767842600000001E-2</v>
      </c>
    </row>
    <row r="27" spans="1:8" ht="15.75" customHeight="1" x14ac:dyDescent="0.25">
      <c r="B27" s="19" t="s">
        <v>92</v>
      </c>
      <c r="C27" s="101">
        <v>1.8794775E-2</v>
      </c>
    </row>
    <row r="28" spans="1:8" ht="15.75" customHeight="1" x14ac:dyDescent="0.25">
      <c r="B28" s="19" t="s">
        <v>93</v>
      </c>
      <c r="C28" s="101">
        <v>0.23166139099999999</v>
      </c>
    </row>
    <row r="29" spans="1:8" ht="15.75" customHeight="1" x14ac:dyDescent="0.25">
      <c r="B29" s="19" t="s">
        <v>94</v>
      </c>
      <c r="C29" s="101">
        <v>0.138538992</v>
      </c>
    </row>
    <row r="30" spans="1:8" ht="15.75" customHeight="1" x14ac:dyDescent="0.25">
      <c r="B30" s="19" t="s">
        <v>95</v>
      </c>
      <c r="C30" s="101">
        <v>5.0761070999999998E-2</v>
      </c>
    </row>
    <row r="31" spans="1:8" ht="15.75" customHeight="1" x14ac:dyDescent="0.25">
      <c r="B31" s="19" t="s">
        <v>96</v>
      </c>
      <c r="C31" s="101">
        <v>7.0366394999999998E-2</v>
      </c>
    </row>
    <row r="32" spans="1:8" ht="15.75" customHeight="1" x14ac:dyDescent="0.25">
      <c r="B32" s="19" t="s">
        <v>97</v>
      </c>
      <c r="C32" s="101">
        <v>0.147583886</v>
      </c>
    </row>
    <row r="33" spans="2:3" ht="15.75" customHeight="1" x14ac:dyDescent="0.25">
      <c r="B33" s="19" t="s">
        <v>98</v>
      </c>
      <c r="C33" s="101">
        <v>0.122079576</v>
      </c>
    </row>
    <row r="34" spans="2:3" ht="15.75" customHeight="1" x14ac:dyDescent="0.25">
      <c r="B34" s="19" t="s">
        <v>99</v>
      </c>
      <c r="C34" s="101">
        <v>0.17253548899999999</v>
      </c>
    </row>
    <row r="35" spans="2:3" ht="15.75" customHeight="1" x14ac:dyDescent="0.25">
      <c r="B35" s="27" t="s">
        <v>30</v>
      </c>
      <c r="C35" s="48">
        <f>SUM(C26:C34)</f>
        <v>1.0000000009999999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0.82677453145578772</v>
      </c>
      <c r="D2" s="52">
        <f>IFERROR(1-_xlfn.NORM.DIST(_xlfn.NORM.INV(SUM(D4:D5), 0, 1) + 1, 0, 1, TRUE), "")</f>
        <v>0.82677453145578772</v>
      </c>
      <c r="E2" s="52">
        <f>IFERROR(1-_xlfn.NORM.DIST(_xlfn.NORM.INV(SUM(E4:E5), 0, 1) + 1, 0, 1, TRUE), "")</f>
        <v>0.73580172304648594</v>
      </c>
      <c r="F2" s="52">
        <f>IFERROR(1-_xlfn.NORM.DIST(_xlfn.NORM.INV(SUM(F4:F5), 0, 1) + 1, 0, 1, TRUE), "")</f>
        <v>0.59718900257291652</v>
      </c>
      <c r="G2" s="52">
        <f>IFERROR(1-_xlfn.NORM.DIST(_xlfn.NORM.INV(SUM(G4:G5), 0, 1) + 1, 0, 1, TRUE), "")</f>
        <v>0.59272423434252342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0.14712637294421232</v>
      </c>
      <c r="D3" s="52">
        <f>IFERROR(_xlfn.NORM.DIST(_xlfn.NORM.INV(SUM(D4:D5), 0, 1) + 1, 0, 1, TRUE) - SUM(D4:D5), "")</f>
        <v>0.14712637294421232</v>
      </c>
      <c r="E3" s="52">
        <f>IFERROR(_xlfn.NORM.DIST(_xlfn.NORM.INV(SUM(E4:E5), 0, 1) + 1, 0, 1, TRUE) - SUM(E4:E5), "")</f>
        <v>0.21269565435351398</v>
      </c>
      <c r="F3" s="52">
        <f>IFERROR(_xlfn.NORM.DIST(_xlfn.NORM.INV(SUM(F4:F5), 0, 1) + 1, 0, 1, TRUE) - SUM(F4:F5), "")</f>
        <v>0.29644308342708353</v>
      </c>
      <c r="G3" s="52">
        <f>IFERROR(_xlfn.NORM.DIST(_xlfn.NORM.INV(SUM(G4:G5), 0, 1) + 1, 0, 1, TRUE) - SUM(G4:G5), "")</f>
        <v>0.29877830865747657</v>
      </c>
    </row>
    <row r="4" spans="1:15" ht="15.75" customHeight="1" x14ac:dyDescent="0.25">
      <c r="B4" s="5" t="s">
        <v>104</v>
      </c>
      <c r="C4" s="45">
        <v>1.7188864000000002E-2</v>
      </c>
      <c r="D4" s="53">
        <v>1.7188864000000002E-2</v>
      </c>
      <c r="E4" s="53">
        <v>4.3822517000000012E-2</v>
      </c>
      <c r="F4" s="53">
        <v>6.8661426999999997E-2</v>
      </c>
      <c r="G4" s="53">
        <v>8.4373778999999996E-2</v>
      </c>
    </row>
    <row r="5" spans="1:15" ht="15.75" customHeight="1" x14ac:dyDescent="0.25">
      <c r="B5" s="5" t="s">
        <v>105</v>
      </c>
      <c r="C5" s="45">
        <v>8.9102316000000004E-3</v>
      </c>
      <c r="D5" s="53">
        <v>8.9102316000000004E-3</v>
      </c>
      <c r="E5" s="53">
        <v>7.6801055999999998E-3</v>
      </c>
      <c r="F5" s="53">
        <v>3.7706486999999997E-2</v>
      </c>
      <c r="G5" s="53">
        <v>2.4123677999999999E-2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0.79442990317533624</v>
      </c>
      <c r="D8" s="52">
        <f>IFERROR(1-_xlfn.NORM.DIST(_xlfn.NORM.INV(SUM(D10:D11), 0, 1) + 1, 0, 1, TRUE), "")</f>
        <v>0.79442990317533624</v>
      </c>
      <c r="E8" s="52">
        <f>IFERROR(1-_xlfn.NORM.DIST(_xlfn.NORM.INV(SUM(E10:E11), 0, 1) + 1, 0, 1, TRUE), "")</f>
        <v>0.90880010060176264</v>
      </c>
      <c r="F8" s="52">
        <f>IFERROR(1-_xlfn.NORM.DIST(_xlfn.NORM.INV(SUM(F10:F11), 0, 1) + 1, 0, 1, TRUE), "")</f>
        <v>0.93089903469927304</v>
      </c>
      <c r="G8" s="52">
        <f>IFERROR(1-_xlfn.NORM.DIST(_xlfn.NORM.INV(SUM(G10:G11), 0, 1) + 1, 0, 1, TRUE), "")</f>
        <v>0.93706482118372392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0.17133416602466375</v>
      </c>
      <c r="D9" s="52">
        <f>IFERROR(_xlfn.NORM.DIST(_xlfn.NORM.INV(SUM(D10:D11), 0, 1) + 1, 0, 1, TRUE) - SUM(D10:D11), "")</f>
        <v>0.17133416602466375</v>
      </c>
      <c r="E9" s="52">
        <f>IFERROR(_xlfn.NORM.DIST(_xlfn.NORM.INV(SUM(E10:E11), 0, 1) + 1, 0, 1, TRUE) - SUM(E10:E11), "")</f>
        <v>8.1386380598237343E-2</v>
      </c>
      <c r="F9" s="52">
        <f>IFERROR(_xlfn.NORM.DIST(_xlfn.NORM.INV(SUM(F10:F11), 0, 1) + 1, 0, 1, TRUE) - SUM(F10:F11), "")</f>
        <v>6.2578131900726988E-2</v>
      </c>
      <c r="G9" s="52">
        <f>IFERROR(_xlfn.NORM.DIST(_xlfn.NORM.INV(SUM(G10:G11), 0, 1) + 1, 0, 1, TRUE) - SUM(G10:G11), "")</f>
        <v>5.7241661516276111E-2</v>
      </c>
    </row>
    <row r="10" spans="1:15" ht="15.75" customHeight="1" x14ac:dyDescent="0.25">
      <c r="B10" s="5" t="s">
        <v>109</v>
      </c>
      <c r="C10" s="45">
        <v>2.6720075999999999E-2</v>
      </c>
      <c r="D10" s="53">
        <v>2.6720075999999999E-2</v>
      </c>
      <c r="E10" s="53">
        <v>2.8764525E-3</v>
      </c>
      <c r="F10" s="53">
        <v>2.5831999999999999E-3</v>
      </c>
      <c r="G10" s="53">
        <v>3.8270104000000002E-3</v>
      </c>
    </row>
    <row r="11" spans="1:15" ht="15.75" customHeight="1" x14ac:dyDescent="0.25">
      <c r="B11" s="5" t="s">
        <v>110</v>
      </c>
      <c r="C11" s="45">
        <v>7.5158548E-3</v>
      </c>
      <c r="D11" s="53">
        <v>7.5158548E-3</v>
      </c>
      <c r="E11" s="53">
        <v>6.9370663000000001E-3</v>
      </c>
      <c r="F11" s="53">
        <v>3.9396333999999998E-3</v>
      </c>
      <c r="G11" s="53">
        <v>1.8665069000000001E-3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0.36972114524999999</v>
      </c>
      <c r="D14" s="54">
        <v>0.35988932596000001</v>
      </c>
      <c r="E14" s="54">
        <v>0.35988932596000001</v>
      </c>
      <c r="F14" s="54">
        <v>0.26732186760100002</v>
      </c>
      <c r="G14" s="54">
        <v>0.26732186760100002</v>
      </c>
      <c r="H14" s="4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45">
        <v>0.189</v>
      </c>
      <c r="M14" s="55">
        <v>0.189</v>
      </c>
      <c r="N14" s="55">
        <v>0.189</v>
      </c>
      <c r="O14" s="55">
        <v>0.189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0.21779939917646776</v>
      </c>
      <c r="D15" s="52">
        <f t="shared" si="0"/>
        <v>0.21200756291910239</v>
      </c>
      <c r="E15" s="52">
        <f t="shared" si="0"/>
        <v>0.21200756291910239</v>
      </c>
      <c r="F15" s="52">
        <f t="shared" si="0"/>
        <v>0.15747690630694072</v>
      </c>
      <c r="G15" s="52">
        <f t="shared" si="0"/>
        <v>0.15747690630694072</v>
      </c>
      <c r="H15" s="52">
        <f t="shared" si="0"/>
        <v>0.17849457300000002</v>
      </c>
      <c r="I15" s="52">
        <f t="shared" si="0"/>
        <v>0.17849457300000002</v>
      </c>
      <c r="J15" s="52">
        <f t="shared" si="0"/>
        <v>0.17849457300000002</v>
      </c>
      <c r="K15" s="52">
        <f t="shared" si="0"/>
        <v>0.17849457300000002</v>
      </c>
      <c r="L15" s="52">
        <f t="shared" si="0"/>
        <v>0.11133819900000001</v>
      </c>
      <c r="M15" s="52">
        <f t="shared" si="0"/>
        <v>0.11133819900000001</v>
      </c>
      <c r="N15" s="52">
        <f t="shared" si="0"/>
        <v>0.11133819900000001</v>
      </c>
      <c r="O15" s="52">
        <f t="shared" si="0"/>
        <v>0.11133819900000001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0.69710499999999997</v>
      </c>
      <c r="D2" s="53">
        <v>0.47777259999999999</v>
      </c>
      <c r="E2" s="53"/>
      <c r="F2" s="53"/>
      <c r="G2" s="53"/>
    </row>
    <row r="3" spans="1:7" x14ac:dyDescent="0.25">
      <c r="B3" s="3" t="s">
        <v>120</v>
      </c>
      <c r="C3" s="53">
        <v>3.7555470000000001E-2</v>
      </c>
      <c r="D3" s="53">
        <v>0.12155680000000001</v>
      </c>
      <c r="E3" s="53"/>
      <c r="F3" s="53"/>
      <c r="G3" s="53"/>
    </row>
    <row r="4" spans="1:7" x14ac:dyDescent="0.25">
      <c r="B4" s="3" t="s">
        <v>121</v>
      </c>
      <c r="C4" s="53">
        <v>0.22008630000000001</v>
      </c>
      <c r="D4" s="53">
        <v>0.36383629999999989</v>
      </c>
      <c r="E4" s="53">
        <v>0.90213686227798506</v>
      </c>
      <c r="F4" s="53">
        <v>0.66075050830841109</v>
      </c>
      <c r="G4" s="53"/>
    </row>
    <row r="5" spans="1:7" x14ac:dyDescent="0.25">
      <c r="B5" s="3" t="s">
        <v>122</v>
      </c>
      <c r="C5" s="52">
        <v>4.5253249999999988E-2</v>
      </c>
      <c r="D5" s="52">
        <v>3.6834279999999997E-2</v>
      </c>
      <c r="E5" s="52">
        <f>1-SUM(E2:E4)</f>
        <v>9.7863137722014937E-2</v>
      </c>
      <c r="F5" s="52">
        <f>1-SUM(F2:F4)</f>
        <v>0.33924949169158891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2024-03-18T00:21:02Z</dcterms:modified>
</cp:coreProperties>
</file>