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LiST Optima bridge\App\en\"/>
    </mc:Choice>
  </mc:AlternateContent>
  <xr:revisionPtr revIDLastSave="0" documentId="8_{8274C06C-DE68-495D-86C9-E80D49CC5042}" xr6:coauthVersionLast="47" xr6:coauthVersionMax="47" xr10:uidLastSave="{00000000-0000-0000-0000-000000000000}"/>
  <bookViews>
    <workbookView xWindow="0" yWindow="3670" windowWidth="19200" windowHeight="6530" tabRatio="961" firstSheet="10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F152" i="27"/>
  <c r="E152" i="27"/>
  <c r="H136" i="27"/>
  <c r="G136" i="27"/>
  <c r="F136" i="27"/>
  <c r="E136" i="27"/>
  <c r="H135" i="27"/>
  <c r="G135" i="27"/>
  <c r="F135" i="27"/>
  <c r="E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E130" i="27"/>
  <c r="D130" i="27"/>
  <c r="H129" i="27"/>
  <c r="G129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E112" i="27"/>
  <c r="D112" i="27"/>
  <c r="H97" i="27"/>
  <c r="H152" i="27" s="1"/>
  <c r="G97" i="27"/>
  <c r="G152" i="27" s="1"/>
  <c r="F97" i="27"/>
  <c r="E97" i="27"/>
  <c r="D97" i="27"/>
  <c r="D152" i="27" s="1"/>
  <c r="H81" i="27"/>
  <c r="G81" i="27"/>
  <c r="F81" i="27"/>
  <c r="E81" i="27"/>
  <c r="H80" i="27"/>
  <c r="G80" i="27"/>
  <c r="F80" i="27"/>
  <c r="E80" i="27"/>
  <c r="D80" i="27"/>
  <c r="D135" i="27" s="1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D131" i="27" s="1"/>
  <c r="E75" i="27"/>
  <c r="D75" i="27"/>
  <c r="H74" i="27"/>
  <c r="G74" i="27"/>
  <c r="F74" i="27"/>
  <c r="F129" i="27" s="1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H112" i="27" s="1"/>
  <c r="G57" i="27"/>
  <c r="G112" i="27" s="1"/>
  <c r="F57" i="27"/>
  <c r="F112" i="27" s="1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H39" i="2"/>
  <c r="G39" i="2"/>
  <c r="I39" i="2" s="1"/>
  <c r="A39" i="2"/>
  <c r="H38" i="2"/>
  <c r="I38" i="2" s="1"/>
  <c r="G38" i="2"/>
  <c r="A35" i="2"/>
  <c r="A34" i="2"/>
  <c r="A33" i="2"/>
  <c r="A32" i="2"/>
  <c r="A27" i="2"/>
  <c r="A26" i="2"/>
  <c r="A25" i="2"/>
  <c r="A24" i="2"/>
  <c r="A19" i="2"/>
  <c r="A18" i="2"/>
  <c r="A17" i="2"/>
  <c r="A16" i="2"/>
  <c r="I11" i="2"/>
  <c r="H11" i="2"/>
  <c r="G11" i="2"/>
  <c r="H10" i="2"/>
  <c r="G10" i="2"/>
  <c r="I10" i="2" s="1"/>
  <c r="I9" i="2"/>
  <c r="H9" i="2"/>
  <c r="G9" i="2"/>
  <c r="H8" i="2"/>
  <c r="G8" i="2"/>
  <c r="I8" i="2" s="1"/>
  <c r="I7" i="2"/>
  <c r="H7" i="2"/>
  <c r="G7" i="2"/>
  <c r="H6" i="2"/>
  <c r="G6" i="2"/>
  <c r="I6" i="2" s="1"/>
  <c r="I5" i="2"/>
  <c r="H5" i="2"/>
  <c r="G5" i="2"/>
  <c r="H4" i="2"/>
  <c r="G4" i="2"/>
  <c r="I4" i="2" s="1"/>
  <c r="I3" i="2"/>
  <c r="H3" i="2"/>
  <c r="G3" i="2"/>
  <c r="A3" i="2"/>
  <c r="H2" i="2"/>
  <c r="G2" i="2"/>
  <c r="I2" i="2" s="1"/>
  <c r="A2" i="2"/>
  <c r="A31" i="2" s="1"/>
  <c r="C33" i="1"/>
  <c r="C20" i="1"/>
  <c r="A4" i="2" l="1"/>
  <c r="A5" i="2" s="1"/>
  <c r="A6" i="2"/>
  <c r="A7" i="2" s="1"/>
  <c r="A12" i="2"/>
  <c r="A20" i="2"/>
  <c r="A28" i="2"/>
  <c r="A36" i="2"/>
  <c r="A8" i="2"/>
  <c r="A9" i="2" s="1"/>
  <c r="A10" i="2" s="1"/>
  <c r="A11" i="2" s="1"/>
  <c r="A13" i="2"/>
  <c r="A21" i="2"/>
  <c r="A29" i="2"/>
  <c r="A37" i="2"/>
  <c r="A22" i="2"/>
  <c r="A14" i="2"/>
  <c r="A30" i="2"/>
  <c r="A38" i="2"/>
  <c r="A40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<sst xmlns="http://schemas.openxmlformats.org/spreadsheetml/2006/main" count="2092" uniqueCount="341">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</sst>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25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0</v>
      </c>
      <c r="B1" s="29" t="s">
        <v>1</v>
      </c>
      <c r="C1" s="29" t="s">
        <v>2</v>
      </c>
    </row>
    <row r="2" spans="1:3" ht="15.9" customHeight="1" x14ac:dyDescent="0.3">
      <c r="A2" s="8" t="s">
        <v>3</v>
      </c>
      <c r="B2" s="29"/>
      <c r="C2" s="29"/>
    </row>
    <row r="3" spans="1:3" ht="15.9" customHeight="1" x14ac:dyDescent="0.3">
      <c r="A3" s="1"/>
      <c r="B3" s="5" t="s">
        <v>4</v>
      </c>
      <c r="C3" s="41">
        <v>2021</v>
      </c>
    </row>
    <row r="4" spans="1:3" ht="15.9" customHeight="1" x14ac:dyDescent="0.3">
      <c r="A4" s="1"/>
      <c r="B4" s="5" t="s">
        <v>5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7123555.3125</v>
      </c>
    </row>
    <row r="8" spans="1:3" ht="15" customHeight="1" x14ac:dyDescent="0.25">
      <c r="B8" s="5" t="s">
        <v>8</v>
      </c>
      <c r="C8" s="44">
        <v>0.127</v>
      </c>
    </row>
    <row r="9" spans="1:3" ht="15" customHeight="1" x14ac:dyDescent="0.25">
      <c r="B9" s="5" t="s">
        <v>9</v>
      </c>
      <c r="C9" s="45">
        <v>0.1</v>
      </c>
    </row>
    <row r="10" spans="1:3" ht="15" customHeight="1" x14ac:dyDescent="0.25">
      <c r="B10" s="5" t="s">
        <v>10</v>
      </c>
      <c r="C10" s="45">
        <v>0.30839620590209998</v>
      </c>
    </row>
    <row r="11" spans="1:3" ht="15" customHeight="1" x14ac:dyDescent="0.25">
      <c r="B11" s="5" t="s">
        <v>11</v>
      </c>
      <c r="C11" s="45">
        <v>0.50700000000000001</v>
      </c>
    </row>
    <row r="12" spans="1:3" ht="15" customHeight="1" x14ac:dyDescent="0.25">
      <c r="B12" s="5" t="s">
        <v>12</v>
      </c>
      <c r="C12" s="45">
        <v>0.48299999999999998</v>
      </c>
    </row>
    <row r="13" spans="1:3" ht="15" customHeight="1" x14ac:dyDescent="0.25">
      <c r="B13" s="5" t="s">
        <v>13</v>
      </c>
      <c r="C13" s="45">
        <v>0.69799999999999995</v>
      </c>
    </row>
    <row r="14" spans="1:3" ht="15" customHeight="1" x14ac:dyDescent="0.25">
      <c r="B14" s="8"/>
    </row>
    <row r="15" spans="1:3" ht="15" customHeight="1" x14ac:dyDescent="0.3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7.4299999999999991E-2</v>
      </c>
    </row>
    <row r="24" spans="1:3" ht="15" customHeight="1" x14ac:dyDescent="0.25">
      <c r="B24" s="15" t="s">
        <v>22</v>
      </c>
      <c r="C24" s="45">
        <v>0.44829999999999998</v>
      </c>
    </row>
    <row r="25" spans="1:3" ht="15" customHeight="1" x14ac:dyDescent="0.25">
      <c r="B25" s="15" t="s">
        <v>23</v>
      </c>
      <c r="C25" s="45">
        <v>0.39019999999999999</v>
      </c>
    </row>
    <row r="26" spans="1:3" ht="15" customHeight="1" x14ac:dyDescent="0.25">
      <c r="B26" s="15" t="s">
        <v>24</v>
      </c>
      <c r="C26" s="45">
        <v>8.72E-2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0.18136664659999999</v>
      </c>
    </row>
    <row r="30" spans="1:3" ht="14.25" customHeight="1" x14ac:dyDescent="0.25">
      <c r="B30" s="25" t="s">
        <v>27</v>
      </c>
      <c r="C30" s="99">
        <v>0.1032510536</v>
      </c>
    </row>
    <row r="31" spans="1:3" ht="14.25" customHeight="1" x14ac:dyDescent="0.25">
      <c r="B31" s="25" t="s">
        <v>28</v>
      </c>
      <c r="C31" s="99">
        <v>0.13079470200000001</v>
      </c>
    </row>
    <row r="32" spans="1:3" ht="14.25" customHeight="1" x14ac:dyDescent="0.25">
      <c r="B32" s="25" t="s">
        <v>29</v>
      </c>
      <c r="C32" s="99">
        <v>0.58458759780000003</v>
      </c>
    </row>
    <row r="33" spans="1:5" ht="13" customHeight="1" x14ac:dyDescent="0.25">
      <c r="B33" s="27" t="s">
        <v>30</v>
      </c>
      <c r="C33" s="48">
        <f>SUM(C29:C32)</f>
        <v>1</v>
      </c>
    </row>
    <row r="34" spans="1:5" ht="15" customHeight="1" x14ac:dyDescent="0.25"/>
    <row r="35" spans="1:5" ht="15" customHeight="1" x14ac:dyDescent="0.3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27.219969074432399</v>
      </c>
    </row>
    <row r="38" spans="1:5" ht="15" customHeight="1" x14ac:dyDescent="0.25">
      <c r="B38" s="11" t="s">
        <v>34</v>
      </c>
      <c r="C38" s="43">
        <v>40.968681384121801</v>
      </c>
      <c r="D38" s="12"/>
      <c r="E38" s="13"/>
    </row>
    <row r="39" spans="1:5" ht="15" customHeight="1" x14ac:dyDescent="0.25">
      <c r="B39" s="11" t="s">
        <v>35</v>
      </c>
      <c r="C39" s="43">
        <v>58.414902873901397</v>
      </c>
      <c r="D39" s="12"/>
      <c r="E39" s="12"/>
    </row>
    <row r="40" spans="1:5" ht="15" customHeight="1" x14ac:dyDescent="0.25">
      <c r="B40" s="11" t="s">
        <v>36</v>
      </c>
      <c r="C40" s="100">
        <v>2.95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22.617056439999999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9.4189000000000009E-3</v>
      </c>
      <c r="D45" s="12"/>
    </row>
    <row r="46" spans="1:5" ht="15.75" customHeight="1" x14ac:dyDescent="0.25">
      <c r="B46" s="11" t="s">
        <v>41</v>
      </c>
      <c r="C46" s="45">
        <v>7.8801999999999997E-2</v>
      </c>
      <c r="D46" s="12"/>
    </row>
    <row r="47" spans="1:5" ht="15.75" customHeight="1" x14ac:dyDescent="0.25">
      <c r="B47" s="11" t="s">
        <v>42</v>
      </c>
      <c r="C47" s="45">
        <v>7.7900200000000003E-2</v>
      </c>
      <c r="D47" s="12"/>
      <c r="E47" s="13"/>
    </row>
    <row r="48" spans="1:5" ht="15" customHeight="1" x14ac:dyDescent="0.25">
      <c r="B48" s="11" t="s">
        <v>43</v>
      </c>
      <c r="C48" s="46">
        <v>0.83387889999999998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2.9</v>
      </c>
      <c r="D51" s="12"/>
    </row>
    <row r="52" spans="1:4" ht="15" customHeight="1" x14ac:dyDescent="0.25">
      <c r="B52" s="11" t="s">
        <v>46</v>
      </c>
      <c r="C52" s="100">
        <v>2.9</v>
      </c>
    </row>
    <row r="53" spans="1:4" ht="15.75" customHeight="1" x14ac:dyDescent="0.25">
      <c r="B53" s="11" t="s">
        <v>47</v>
      </c>
      <c r="C53" s="100">
        <v>2.9</v>
      </c>
    </row>
    <row r="54" spans="1:4" ht="15.75" customHeight="1" x14ac:dyDescent="0.25">
      <c r="B54" s="11" t="s">
        <v>48</v>
      </c>
      <c r="C54" s="100">
        <v>2.9</v>
      </c>
    </row>
    <row r="55" spans="1:4" ht="15.75" customHeight="1" x14ac:dyDescent="0.25">
      <c r="B55" s="11" t="s">
        <v>49</v>
      </c>
      <c r="C55" s="100">
        <v>2.9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2.0689655172413789E-2</v>
      </c>
    </row>
    <row r="59" spans="1:4" ht="15.75" customHeight="1" x14ac:dyDescent="0.25">
      <c r="B59" s="11" t="s">
        <v>52</v>
      </c>
      <c r="C59" s="45">
        <v>0.52577700000000005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0.14599999999999999</v>
      </c>
    </row>
    <row r="63" spans="1:4" ht="15.75" customHeight="1" x14ac:dyDescent="0.3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9.5020106923580303E-2</v>
      </c>
      <c r="C2" s="98">
        <v>0.95</v>
      </c>
      <c r="D2" s="56">
        <v>47.001122266344161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39.632944298745883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241.50381621256199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0.63572318409505146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12.76524374254179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12.76524374254179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12.76524374254179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12.76524374254179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12.76524374254179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12.76524374254179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0.19551599546106199</v>
      </c>
      <c r="C16" s="98">
        <v>0.95</v>
      </c>
      <c r="D16" s="56">
        <v>0.4719828027126588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0.8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5.6195673264216497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5.6195673264216497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0.53042918443679798</v>
      </c>
      <c r="C21" s="98">
        <v>0.95</v>
      </c>
      <c r="D21" s="56">
        <v>5.7756331563778938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21.899261251179791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7.5947934399999998E-3</v>
      </c>
      <c r="C23" s="98">
        <v>0.95</v>
      </c>
      <c r="D23" s="56">
        <v>4.1250028489423594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0.20749319417572201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0.121857072520256</v>
      </c>
      <c r="C27" s="98">
        <v>0.95</v>
      </c>
      <c r="D27" s="56">
        <v>18.34498420736286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0.19644320000000001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88.477616348400218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</v>
      </c>
      <c r="C31" s="98">
        <v>0.95</v>
      </c>
      <c r="D31" s="56">
        <v>4.0508635694147443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0.53045450000000005</v>
      </c>
      <c r="C32" s="98">
        <v>0.95</v>
      </c>
      <c r="D32" s="56">
        <v>0.98807896403043338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0.36575032490126702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0.34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0.152187049388885</v>
      </c>
      <c r="C38" s="98">
        <v>0.95</v>
      </c>
      <c r="D38" s="56">
        <v>7.6479873549004456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0.23971219999999999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B8" sqref="B7:B8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156</v>
      </c>
      <c r="B1" s="4" t="s">
        <v>201</v>
      </c>
      <c r="C1" s="4" t="s">
        <v>202</v>
      </c>
    </row>
    <row r="2" spans="1:3" ht="13.25" customHeight="1" x14ac:dyDescent="0.25">
      <c r="A2" s="57" t="s">
        <v>179</v>
      </c>
      <c r="B2" s="47" t="s">
        <v>189</v>
      </c>
      <c r="C2" s="47"/>
    </row>
    <row r="3" spans="1:3" ht="13.25" customHeight="1" x14ac:dyDescent="0.25">
      <c r="A3" s="57" t="s">
        <v>180</v>
      </c>
      <c r="B3" s="47" t="s">
        <v>189</v>
      </c>
      <c r="C3" s="47"/>
    </row>
    <row r="4" spans="1:3" ht="13.25" customHeight="1" x14ac:dyDescent="0.25">
      <c r="A4" s="57" t="s">
        <v>191</v>
      </c>
      <c r="B4" s="47" t="s">
        <v>184</v>
      </c>
      <c r="C4" s="47"/>
    </row>
    <row r="5" spans="1:3" ht="13.25" customHeight="1" x14ac:dyDescent="0.25">
      <c r="A5" s="57" t="s">
        <v>188</v>
      </c>
      <c r="B5" s="47" t="s">
        <v>184</v>
      </c>
      <c r="C5" s="47"/>
    </row>
    <row r="6" spans="1:3" ht="13.25" customHeight="1" x14ac:dyDescent="0.25">
      <c r="A6" s="57"/>
      <c r="B6" s="58"/>
      <c r="C6" s="58"/>
    </row>
    <row r="7" spans="1:3" ht="13.25" customHeight="1" x14ac:dyDescent="0.25">
      <c r="A7" s="57"/>
      <c r="B7" s="58"/>
      <c r="C7" s="58"/>
    </row>
    <row r="8" spans="1:3" ht="13.25" customHeight="1" x14ac:dyDescent="0.25">
      <c r="A8" s="57"/>
      <c r="B8" s="58"/>
      <c r="C8" s="58"/>
    </row>
    <row r="9" spans="1:3" ht="13.25" customHeight="1" x14ac:dyDescent="0.25">
      <c r="A9" s="57"/>
      <c r="B9" s="58"/>
      <c r="C9" s="58"/>
    </row>
    <row r="10" spans="1:3" ht="13.25" customHeight="1" x14ac:dyDescent="0.25">
      <c r="A10" s="57"/>
      <c r="B10" s="58"/>
      <c r="C10" s="58"/>
    </row>
    <row r="11" spans="1:3" ht="13.25" customHeight="1" x14ac:dyDescent="0.25">
      <c r="A11" s="59"/>
      <c r="B11" s="58"/>
      <c r="C11" s="58"/>
    </row>
    <row r="12" spans="1:3" ht="13.25" customHeight="1" x14ac:dyDescent="0.25">
      <c r="A12" s="59"/>
      <c r="B12" s="58"/>
      <c r="C12" s="58"/>
    </row>
    <row r="13" spans="1:3" ht="13.25" customHeight="1" x14ac:dyDescent="0.25">
      <c r="A13" s="59"/>
      <c r="B13" s="58"/>
      <c r="C13" s="58"/>
    </row>
    <row r="14" spans="1:3" ht="13.25" customHeight="1" x14ac:dyDescent="0.25">
      <c r="A14" s="59"/>
      <c r="B14" s="58"/>
      <c r="C14" s="58"/>
    </row>
    <row r="15" spans="1:3" ht="13.25" customHeight="1" x14ac:dyDescent="0.25">
      <c r="A15" s="59"/>
      <c r="B15" s="58"/>
      <c r="C15" s="58"/>
    </row>
    <row r="16" spans="1:3" ht="13.25" customHeight="1" x14ac:dyDescent="0.25">
      <c r="A16" s="59"/>
      <c r="B16" s="58"/>
      <c r="C16" s="58"/>
    </row>
    <row r="17" spans="1:3" ht="13.25" customHeight="1" x14ac:dyDescent="0.25">
      <c r="A17" s="59"/>
      <c r="B17" s="58"/>
      <c r="C17" s="58"/>
    </row>
    <row r="18" spans="1:3" ht="13.25" customHeight="1" x14ac:dyDescent="0.25">
      <c r="A18" s="59"/>
      <c r="B18" s="58"/>
      <c r="C18" s="58"/>
    </row>
    <row r="19" spans="1:3" ht="13.25" customHeight="1" x14ac:dyDescent="0.25">
      <c r="A19" s="57"/>
      <c r="B19" s="58"/>
      <c r="C19" s="58"/>
    </row>
    <row r="20" spans="1:3" ht="13.25" customHeight="1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156</v>
      </c>
    </row>
    <row r="2" spans="1:1" ht="13.25" customHeight="1" x14ac:dyDescent="0.25">
      <c r="A2" s="33" t="s">
        <v>171</v>
      </c>
    </row>
    <row r="3" spans="1:1" ht="13.25" customHeight="1" x14ac:dyDescent="0.25">
      <c r="A3" s="33" t="s">
        <v>181</v>
      </c>
    </row>
    <row r="4" spans="1:1" ht="13.25" customHeight="1" x14ac:dyDescent="0.25">
      <c r="A4" s="33" t="s">
        <v>185</v>
      </c>
    </row>
    <row r="5" spans="1:1" ht="13.25" customHeight="1" x14ac:dyDescent="0.25">
      <c r="A5" s="33" t="s">
        <v>194</v>
      </c>
    </row>
    <row r="6" spans="1:1" ht="13.25" customHeight="1" x14ac:dyDescent="0.25">
      <c r="A6" s="33" t="s">
        <v>195</v>
      </c>
    </row>
    <row r="7" spans="1:1" ht="13.25" customHeight="1" x14ac:dyDescent="0.25">
      <c r="A7" s="33" t="s">
        <v>196</v>
      </c>
    </row>
    <row r="8" spans="1:1" ht="13.25" customHeight="1" x14ac:dyDescent="0.25">
      <c r="A8" s="33" t="s">
        <v>197</v>
      </c>
    </row>
    <row r="9" spans="1:1" ht="13.25" customHeight="1" x14ac:dyDescent="0.25">
      <c r="A9" s="33" t="s">
        <v>198</v>
      </c>
    </row>
    <row r="10" spans="1:1" ht="13.25" customHeight="1" x14ac:dyDescent="0.25">
      <c r="A10" s="33"/>
    </row>
    <row r="11" spans="1:1" ht="13.25" customHeight="1" x14ac:dyDescent="0.25">
      <c r="A11" s="33"/>
    </row>
    <row r="12" spans="1:1" ht="13.25" customHeight="1" x14ac:dyDescent="0.25">
      <c r="A12" s="33"/>
    </row>
    <row r="13" spans="1:1" ht="13.25" customHeight="1" x14ac:dyDescent="0.25">
      <c r="A13" s="33"/>
    </row>
    <row r="14" spans="1:1" ht="13.25" customHeight="1" x14ac:dyDescent="0.25">
      <c r="A14" s="33"/>
    </row>
    <row r="15" spans="1:1" ht="13.25" customHeight="1" x14ac:dyDescent="0.25">
      <c r="A15" s="33"/>
    </row>
    <row r="16" spans="1:1" ht="13.25" customHeight="1" x14ac:dyDescent="0.25">
      <c r="A16" s="33"/>
    </row>
    <row r="17" spans="1:1" ht="13.25" customHeight="1" x14ac:dyDescent="0.25">
      <c r="A17" s="33"/>
    </row>
    <row r="18" spans="1:1" ht="13.25" customHeight="1" x14ac:dyDescent="0.25">
      <c r="A18" s="33"/>
    </row>
    <row r="19" spans="1:1" ht="13.25" customHeight="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2.9</v>
      </c>
      <c r="C2" s="21">
        <f>'Baseline year population inputs'!C52</f>
        <v>2.9</v>
      </c>
      <c r="D2" s="21">
        <f>'Baseline year population inputs'!C53</f>
        <v>2.9</v>
      </c>
      <c r="E2" s="21">
        <f>'Baseline year population inputs'!C54</f>
        <v>2.9</v>
      </c>
      <c r="F2" s="21">
        <f>'Baseline year population inputs'!C55</f>
        <v>2.9</v>
      </c>
    </row>
    <row r="3" spans="1:6" ht="15.75" customHeight="1" x14ac:dyDescent="0.25">
      <c r="A3" s="3" t="s">
        <v>204</v>
      </c>
      <c r="B3" s="21">
        <f>frac_mam_1month * 2.6</f>
        <v>0.20624480098485951</v>
      </c>
      <c r="C3" s="21">
        <f>frac_mam_1_5months * 2.6</f>
        <v>0.20624480098485951</v>
      </c>
      <c r="D3" s="21">
        <f>frac_mam_6_11months * 2.6</f>
        <v>0.31698135733604343</v>
      </c>
      <c r="E3" s="21">
        <f>frac_mam_12_23months * 2.6</f>
        <v>0.40099966228008177</v>
      </c>
      <c r="F3" s="21">
        <f>frac_mam_24_59months * 2.6</f>
        <v>0.2896797716617584</v>
      </c>
    </row>
    <row r="4" spans="1:6" ht="15.75" customHeight="1" x14ac:dyDescent="0.25">
      <c r="A4" s="3" t="s">
        <v>205</v>
      </c>
      <c r="B4" s="21">
        <f>frac_sam_1month * 2.6</f>
        <v>0.10810579881072035</v>
      </c>
      <c r="C4" s="21">
        <f>frac_sam_1_5months * 2.6</f>
        <v>0.10810579881072035</v>
      </c>
      <c r="D4" s="21">
        <f>frac_sam_6_11months * 2.6</f>
        <v>0.15526864454150194</v>
      </c>
      <c r="E4" s="21">
        <f>frac_sam_12_23months * 2.6</f>
        <v>0.152835253626108</v>
      </c>
      <c r="F4" s="21">
        <f>frac_sam_24_59months * 2.6</f>
        <v>9.7335326671600414E-2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60">
        <v>0</v>
      </c>
      <c r="D2" s="60">
        <f>food_insecure</f>
        <v>0.127</v>
      </c>
      <c r="E2" s="60">
        <f>food_insecure</f>
        <v>0.127</v>
      </c>
      <c r="F2" s="60">
        <f>food_insecure</f>
        <v>0.127</v>
      </c>
      <c r="G2" s="60">
        <f>food_insecure</f>
        <v>0.127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0.127</v>
      </c>
      <c r="F5" s="60">
        <f>food_insecure</f>
        <v>0.127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5.9999999999999984E-2</v>
      </c>
      <c r="D7" s="60">
        <f>diarrhoea_1_5mo*frac_diarrhea_severe</f>
        <v>5.9999999999999984E-2</v>
      </c>
      <c r="E7" s="60">
        <f>diarrhoea_6_11mo*frac_diarrhea_severe</f>
        <v>5.9999999999999984E-2</v>
      </c>
      <c r="F7" s="60">
        <f>diarrhoea_12_23mo*frac_diarrhea_severe</f>
        <v>5.9999999999999984E-2</v>
      </c>
      <c r="G7" s="60">
        <f>diarrhoea_24_59mo*frac_diarrhea_severe</f>
        <v>5.9999999999999984E-2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0.127</v>
      </c>
      <c r="F8" s="60">
        <f>food_insecure</f>
        <v>0.127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0.127</v>
      </c>
      <c r="F9" s="60">
        <f>food_insecure</f>
        <v>0.127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0.48299999999999998</v>
      </c>
      <c r="E10" s="60">
        <f>IF(ISBLANK(comm_deliv), frac_children_health_facility,1)</f>
        <v>0.48299999999999998</v>
      </c>
      <c r="F10" s="60">
        <f>IF(ISBLANK(comm_deliv), frac_children_health_facility,1)</f>
        <v>0.48299999999999998</v>
      </c>
      <c r="G10" s="60">
        <f>IF(ISBLANK(comm_deliv), frac_children_health_facility,1)</f>
        <v>0.48299999999999998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5.9999999999999984E-2</v>
      </c>
      <c r="D12" s="60">
        <f>diarrhoea_1_5mo*frac_diarrhea_severe</f>
        <v>5.9999999999999984E-2</v>
      </c>
      <c r="E12" s="60">
        <f>diarrhoea_6_11mo*frac_diarrhea_severe</f>
        <v>5.9999999999999984E-2</v>
      </c>
      <c r="F12" s="60">
        <f>diarrhoea_12_23mo*frac_diarrhea_severe</f>
        <v>5.9999999999999984E-2</v>
      </c>
      <c r="G12" s="60">
        <f>diarrhoea_24_59mo*frac_diarrhea_severe</f>
        <v>5.9999999999999984E-2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0.127</v>
      </c>
      <c r="I15" s="60">
        <f>food_insecure</f>
        <v>0.127</v>
      </c>
      <c r="J15" s="60">
        <f>food_insecure</f>
        <v>0.127</v>
      </c>
      <c r="K15" s="60">
        <f>food_insecure</f>
        <v>0.127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0.50700000000000001</v>
      </c>
      <c r="I18" s="60">
        <f>frac_PW_health_facility</f>
        <v>0.50700000000000001</v>
      </c>
      <c r="J18" s="60">
        <f>frac_PW_health_facility</f>
        <v>0.50700000000000001</v>
      </c>
      <c r="K18" s="60">
        <f>frac_PW_health_facility</f>
        <v>0.50700000000000001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0.1</v>
      </c>
      <c r="I19" s="60">
        <f>frac_malaria_risk</f>
        <v>0.1</v>
      </c>
      <c r="J19" s="60">
        <f>frac_malaria_risk</f>
        <v>0.1</v>
      </c>
      <c r="K19" s="60">
        <f>frac_malaria_risk</f>
        <v>0.1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0.69799999999999995</v>
      </c>
      <c r="M24" s="60">
        <f>famplan_unmet_need</f>
        <v>0.69799999999999995</v>
      </c>
      <c r="N24" s="60">
        <f>famplan_unmet_need</f>
        <v>0.69799999999999995</v>
      </c>
      <c r="O24" s="60">
        <f>famplan_unmet_need</f>
        <v>0.69799999999999995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0.35733093229656199</v>
      </c>
      <c r="M25" s="60">
        <f>(1-food_insecure)*(0.49)+food_insecure*(0.7)</f>
        <v>0.51666999999999996</v>
      </c>
      <c r="N25" s="60">
        <f>(1-food_insecure)*(0.49)+food_insecure*(0.7)</f>
        <v>0.51666999999999996</v>
      </c>
      <c r="O25" s="60">
        <f>(1-food_insecure)*(0.49)+food_insecure*(0.7)</f>
        <v>0.51666999999999996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0.15314182812709801</v>
      </c>
      <c r="M26" s="60">
        <f>(1-food_insecure)*(0.21)+food_insecure*(0.3)</f>
        <v>0.22142999999999999</v>
      </c>
      <c r="N26" s="60">
        <f>(1-food_insecure)*(0.21)+food_insecure*(0.3)</f>
        <v>0.22142999999999999</v>
      </c>
      <c r="O26" s="60">
        <f>(1-food_insecure)*(0.21)+food_insecure*(0.3)</f>
        <v>0.22142999999999999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0.18113103367423999</v>
      </c>
      <c r="M27" s="60">
        <f>(1-food_insecure)*(0.3)</f>
        <v>0.26189999999999997</v>
      </c>
      <c r="N27" s="60">
        <f>(1-food_insecure)*(0.3)</f>
        <v>0.26189999999999997</v>
      </c>
      <c r="O27" s="60">
        <f>(1-food_insecure)*(0.3)</f>
        <v>0.26189999999999997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0.30839620590209993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0.1</v>
      </c>
      <c r="D34" s="60">
        <f t="shared" si="3"/>
        <v>0.1</v>
      </c>
      <c r="E34" s="60">
        <f t="shared" si="3"/>
        <v>0.1</v>
      </c>
      <c r="F34" s="60">
        <f t="shared" si="3"/>
        <v>0.1</v>
      </c>
      <c r="G34" s="60">
        <f t="shared" si="3"/>
        <v>0.1</v>
      </c>
      <c r="H34" s="60">
        <f t="shared" si="3"/>
        <v>0.1</v>
      </c>
      <c r="I34" s="60">
        <f t="shared" si="3"/>
        <v>0.1</v>
      </c>
      <c r="J34" s="60">
        <f t="shared" si="3"/>
        <v>0.1</v>
      </c>
      <c r="K34" s="60">
        <f t="shared" si="3"/>
        <v>0.1</v>
      </c>
      <c r="L34" s="60">
        <f t="shared" si="3"/>
        <v>0.1</v>
      </c>
      <c r="M34" s="60">
        <f t="shared" si="3"/>
        <v>0.1</v>
      </c>
      <c r="N34" s="60">
        <f t="shared" si="3"/>
        <v>0.1</v>
      </c>
      <c r="O34" s="60">
        <f t="shared" si="3"/>
        <v>0.1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c/rGyVZgGkhUAqOYeQhEdKJohJnZwMlPtVcOZvPWAG/LEg5Gne9k7nZtnui0huHfripADE6dYtqDmtQbZr0eCA==" saltValue="B8YmPLaFBUBxrPCcmxl/Fg==" spinCount="100000" sheet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4" customHeight="1" x14ac:dyDescent="0.3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A12" sqref="A12:XFD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5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/iNx8XhXnh7Xx3uVehiCurwu84DzhXX8Awjv5OnRpydvMo//nxQizpEy+BvB5S3dYPWZ66+QPd4XSBmiXvnjlw==" saltValue="ZzUL++HyQF3FaTSDA9XqUQ==" spinCount="100000" sheet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15" workbookViewId="0">
      <selection activeCell="E28" sqref="E28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ht="13.25" customHeight="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ht="13.25" customHeight="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ht="13.25" customHeight="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ht="13.25" customHeight="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ht="13.25" customHeight="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ht="13.25" customHeight="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ht="13.25" customHeight="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ht="13.25" customHeight="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ht="13.25" customHeight="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ht="13.25" customHeight="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ht="13.25" customHeight="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ht="13.25" customHeight="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ht="13.25" customHeight="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ht="13.25" customHeight="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ht="13.25" customHeight="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ht="13.25" customHeight="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ht="13.25" customHeight="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ht="13.25" customHeight="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ht="13.25" customHeight="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ht="13.25" customHeight="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ht="13.25" customHeight="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r5uzVyzuX2cUXRUCd1eCp2cRQdoXMaTi7+j4lrtBEgwzDwwg07iN9Zvo/tiwSsVCYAFkOMHpp89HQAzExnqtEg==" saltValue="Yl6vtKysPUoNlkWylvJDXA==" spinCount="100000" sheet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ht="13.25" customHeight="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ht="13.25" customHeight="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ht="13.25" customHeight="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ht="13.25" customHeight="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ht="13.25" customHeight="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ht="13.25" customHeight="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ht="13.25" customHeight="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ht="13.25" customHeight="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ht="13.25" customHeight="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ht="13.25" customHeight="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ht="13.25" customHeight="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ht="13.25" customHeight="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ht="13.25" customHeight="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1393963.7568000001</v>
      </c>
      <c r="C2" s="49">
        <v>2404000</v>
      </c>
      <c r="D2" s="49">
        <v>3880000</v>
      </c>
      <c r="E2" s="49">
        <v>41000</v>
      </c>
      <c r="F2" s="49">
        <v>37000</v>
      </c>
      <c r="G2" s="17">
        <f t="shared" ref="G2:G11" si="0">C2+D2+E2+F2</f>
        <v>6362000</v>
      </c>
      <c r="H2" s="17">
        <f t="shared" ref="H2:H11" si="1">(B2 + stillbirth*B2/(1000-stillbirth))/(1-abortion)</f>
        <v>1620705.3070382553</v>
      </c>
      <c r="I2" s="17">
        <f t="shared" ref="I2:I11" si="2">G2-H2</f>
        <v>4741294.692961745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1414540.8828</v>
      </c>
      <c r="C3" s="50">
        <v>2451000</v>
      </c>
      <c r="D3" s="50">
        <v>4001000</v>
      </c>
      <c r="E3" s="50">
        <v>41000</v>
      </c>
      <c r="F3" s="50">
        <v>36000</v>
      </c>
      <c r="G3" s="17">
        <f t="shared" si="0"/>
        <v>6529000</v>
      </c>
      <c r="H3" s="17">
        <f t="shared" si="1"/>
        <v>1644629.499578492</v>
      </c>
      <c r="I3" s="17">
        <f t="shared" si="2"/>
        <v>4884370.5004215082</v>
      </c>
    </row>
    <row r="4" spans="1:9" ht="15.75" customHeight="1" x14ac:dyDescent="0.25">
      <c r="A4" s="5">
        <f t="shared" si="3"/>
        <v>2023</v>
      </c>
      <c r="B4" s="49">
        <v>1435151.2032000001</v>
      </c>
      <c r="C4" s="50">
        <v>2496000</v>
      </c>
      <c r="D4" s="50">
        <v>4121000</v>
      </c>
      <c r="E4" s="50">
        <v>42000</v>
      </c>
      <c r="F4" s="50">
        <v>37000</v>
      </c>
      <c r="G4" s="17">
        <f t="shared" si="0"/>
        <v>6696000</v>
      </c>
      <c r="H4" s="17">
        <f t="shared" si="1"/>
        <v>1668592.2859056774</v>
      </c>
      <c r="I4" s="17">
        <f t="shared" si="2"/>
        <v>5027407.7140943222</v>
      </c>
    </row>
    <row r="5" spans="1:9" ht="15.75" customHeight="1" x14ac:dyDescent="0.25">
      <c r="A5" s="5">
        <f t="shared" si="3"/>
        <v>2024</v>
      </c>
      <c r="B5" s="49">
        <v>1455624.7552</v>
      </c>
      <c r="C5" s="50">
        <v>2540000</v>
      </c>
      <c r="D5" s="50">
        <v>4239000</v>
      </c>
      <c r="E5" s="50">
        <v>42000</v>
      </c>
      <c r="F5" s="50">
        <v>36000</v>
      </c>
      <c r="G5" s="17">
        <f t="shared" si="0"/>
        <v>6857000</v>
      </c>
      <c r="H5" s="17">
        <f t="shared" si="1"/>
        <v>1692396.0571432423</v>
      </c>
      <c r="I5" s="17">
        <f t="shared" si="2"/>
        <v>5164603.9428567579</v>
      </c>
    </row>
    <row r="6" spans="1:9" ht="15.75" customHeight="1" x14ac:dyDescent="0.25">
      <c r="A6" s="5">
        <f t="shared" si="3"/>
        <v>2025</v>
      </c>
      <c r="B6" s="49">
        <v>1475978</v>
      </c>
      <c r="C6" s="50">
        <v>2583000</v>
      </c>
      <c r="D6" s="50">
        <v>4354000</v>
      </c>
      <c r="E6" s="50">
        <v>42000</v>
      </c>
      <c r="F6" s="50">
        <v>37000</v>
      </c>
      <c r="G6" s="17">
        <f t="shared" si="0"/>
        <v>7016000</v>
      </c>
      <c r="H6" s="17">
        <f t="shared" si="1"/>
        <v>1716059.9520629589</v>
      </c>
      <c r="I6" s="17">
        <f t="shared" si="2"/>
        <v>5299940.0479370411</v>
      </c>
    </row>
    <row r="7" spans="1:9" ht="15.75" customHeight="1" x14ac:dyDescent="0.25">
      <c r="A7" s="5">
        <f t="shared" si="3"/>
        <v>2026</v>
      </c>
      <c r="B7" s="49">
        <v>1496387.9476000001</v>
      </c>
      <c r="C7" s="50">
        <v>2623000</v>
      </c>
      <c r="D7" s="50">
        <v>4464000</v>
      </c>
      <c r="E7" s="50">
        <v>44000</v>
      </c>
      <c r="F7" s="50">
        <v>37000</v>
      </c>
      <c r="G7" s="17">
        <f t="shared" si="0"/>
        <v>7168000</v>
      </c>
      <c r="H7" s="17">
        <f t="shared" si="1"/>
        <v>1739789.7730359435</v>
      </c>
      <c r="I7" s="17">
        <f t="shared" si="2"/>
        <v>5428210.2269640565</v>
      </c>
    </row>
    <row r="8" spans="1:9" ht="15.75" customHeight="1" x14ac:dyDescent="0.25">
      <c r="A8" s="5">
        <f t="shared" si="3"/>
        <v>2027</v>
      </c>
      <c r="B8" s="49">
        <v>1516576.4992</v>
      </c>
      <c r="C8" s="50">
        <v>2662000</v>
      </c>
      <c r="D8" s="50">
        <v>4570000</v>
      </c>
      <c r="E8" s="50">
        <v>44000</v>
      </c>
      <c r="F8" s="50">
        <v>38000</v>
      </c>
      <c r="G8" s="17">
        <f t="shared" si="0"/>
        <v>7314000</v>
      </c>
      <c r="H8" s="17">
        <f t="shared" si="1"/>
        <v>1763262.1858299796</v>
      </c>
      <c r="I8" s="17">
        <f t="shared" si="2"/>
        <v>5550737.8141700206</v>
      </c>
    </row>
    <row r="9" spans="1:9" ht="15.75" customHeight="1" x14ac:dyDescent="0.25">
      <c r="A9" s="5">
        <f t="shared" si="3"/>
        <v>2028</v>
      </c>
      <c r="B9" s="49">
        <v>1536502.6751999999</v>
      </c>
      <c r="C9" s="50">
        <v>2701000</v>
      </c>
      <c r="D9" s="50">
        <v>4674000</v>
      </c>
      <c r="E9" s="50">
        <v>44000</v>
      </c>
      <c r="F9" s="50">
        <v>38000</v>
      </c>
      <c r="G9" s="17">
        <f t="shared" si="0"/>
        <v>7457000</v>
      </c>
      <c r="H9" s="17">
        <f t="shared" si="1"/>
        <v>1786429.5451208081</v>
      </c>
      <c r="I9" s="17">
        <f t="shared" si="2"/>
        <v>5670570.4548791917</v>
      </c>
    </row>
    <row r="10" spans="1:9" ht="15.75" customHeight="1" x14ac:dyDescent="0.25">
      <c r="A10" s="5">
        <f t="shared" si="3"/>
        <v>2029</v>
      </c>
      <c r="B10" s="49">
        <v>1556213.6348000001</v>
      </c>
      <c r="C10" s="50">
        <v>2741000</v>
      </c>
      <c r="D10" s="50">
        <v>4772000</v>
      </c>
      <c r="E10" s="50">
        <v>44000</v>
      </c>
      <c r="F10" s="50">
        <v>39000</v>
      </c>
      <c r="G10" s="17">
        <f t="shared" si="0"/>
        <v>7596000</v>
      </c>
      <c r="H10" s="17">
        <f t="shared" si="1"/>
        <v>1809346.6810037894</v>
      </c>
      <c r="I10" s="17">
        <f t="shared" si="2"/>
        <v>5786653.3189962106</v>
      </c>
    </row>
    <row r="11" spans="1:9" ht="15.75" customHeight="1" x14ac:dyDescent="0.25">
      <c r="A11" s="5">
        <f t="shared" si="3"/>
        <v>2030</v>
      </c>
      <c r="B11" s="49">
        <v>1575610.66</v>
      </c>
      <c r="C11" s="50">
        <v>2781000</v>
      </c>
      <c r="D11" s="50">
        <v>4866000</v>
      </c>
      <c r="E11" s="50">
        <v>44000</v>
      </c>
      <c r="F11" s="50">
        <v>39000</v>
      </c>
      <c r="G11" s="17">
        <f t="shared" si="0"/>
        <v>7730000</v>
      </c>
      <c r="H11" s="17">
        <f t="shared" si="1"/>
        <v>1831898.818051141</v>
      </c>
      <c r="I11" s="17">
        <f t="shared" si="2"/>
        <v>5898101.1819488592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13" zoomScale="85" zoomScaleNormal="85" workbookViewId="0">
      <selection activeCell="E28" sqref="E28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ht="13" customHeight="1" x14ac:dyDescent="0.3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ht="13.25" customHeight="1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ht="13.25" customHeight="1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ht="13.25" customHeight="1" x14ac:dyDescent="0.25">
      <c r="B5" s="103" t="s">
        <v>67</v>
      </c>
      <c r="C5" s="8" t="s">
        <v>145</v>
      </c>
      <c r="D5" s="88">
        <f>IFERROR((MIN(1,1.56*'Breastfeeding distribution'!$C$2)/(1-MIN(1,1.56*'Breastfeeding distribution'!$C$2))) /
('Breastfeeding distribution'!$C$2/(1-'Breastfeeding distribution'!$C$2)), 1.56)</f>
        <v>1.56</v>
      </c>
      <c r="E5" s="88">
        <v>1</v>
      </c>
      <c r="F5" s="88">
        <v>1</v>
      </c>
      <c r="G5" s="88">
        <v>1</v>
      </c>
      <c r="H5" s="88">
        <v>1</v>
      </c>
    </row>
    <row r="6" spans="1:10" ht="13.25" customHeight="1" x14ac:dyDescent="0.25">
      <c r="B6" s="104"/>
      <c r="C6" s="8" t="s">
        <v>146</v>
      </c>
      <c r="D6" s="88">
        <f>IFERROR((MIN(1,1.56*'Breastfeeding distribution'!$C$2)/(1-MIN(1,1.56*'Breastfeeding distribution'!$C$2))) /
('Breastfeeding distribution'!$C$2/(1-'Breastfeeding distribution'!$C$2)), 1.56)</f>
        <v>1.56</v>
      </c>
      <c r="E6" s="88">
        <v>1</v>
      </c>
      <c r="F6" s="88">
        <v>1</v>
      </c>
      <c r="G6" s="88">
        <v>1</v>
      </c>
      <c r="H6" s="88">
        <v>1</v>
      </c>
    </row>
    <row r="7" spans="1:10" ht="13.25" customHeight="1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ht="13.25" customHeight="1" x14ac:dyDescent="0.25">
      <c r="B8" s="103" t="s">
        <v>77</v>
      </c>
      <c r="C8" s="8" t="s">
        <v>145</v>
      </c>
      <c r="D8" s="88">
        <v>1</v>
      </c>
      <c r="E8" s="88">
        <f>IFERROR((MIN(1,1.56*'Breastfeeding distribution'!$D$2)/(1-MIN(1,1.56*'Breastfeeding distribution'!$D$2))) /
('Breastfeeding distribution'!$D$2/(1-'Breastfeeding distribution'!$D$2)), 1.56)</f>
        <v>4.2465465730439975</v>
      </c>
      <c r="F8" s="88">
        <v>1</v>
      </c>
      <c r="G8" s="88">
        <v>1</v>
      </c>
      <c r="H8" s="88">
        <v>1</v>
      </c>
    </row>
    <row r="9" spans="1:10" ht="13.25" customHeight="1" x14ac:dyDescent="0.25">
      <c r="B9" s="104"/>
      <c r="C9" s="8" t="s">
        <v>146</v>
      </c>
      <c r="D9" s="88">
        <v>1</v>
      </c>
      <c r="E9" s="88">
        <f>IFERROR((MIN(1,1.56*'Breastfeeding distribution'!$D$2)/(1-MIN(1,1.56*'Breastfeeding distribution'!$D$2))) /
('Breastfeeding distribution'!$D$2/(1-'Breastfeeding distribution'!$D$2)), 1.56)</f>
        <v>4.2465465730439975</v>
      </c>
      <c r="F9" s="88">
        <v>1</v>
      </c>
      <c r="G9" s="88">
        <v>1</v>
      </c>
      <c r="H9" s="88">
        <v>1</v>
      </c>
    </row>
    <row r="10" spans="1:10" ht="13.25" customHeight="1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ht="13.25" customHeight="1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ht="13.25" customHeight="1" x14ac:dyDescent="0.25">
      <c r="B12" s="104"/>
      <c r="C12" s="8" t="s">
        <v>146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ht="13.25" customHeight="1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ht="13.25" customHeight="1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ht="13.25" customHeight="1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ht="13.25" customHeight="1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ht="13.25" customHeight="1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ht="13.25" customHeight="1" x14ac:dyDescent="0.25">
      <c r="B20" s="104"/>
      <c r="C20" s="8" t="s">
        <v>146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ht="13.25" customHeight="1" x14ac:dyDescent="0.25">
      <c r="B21" s="104"/>
      <c r="C21" s="8" t="s">
        <v>147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ht="13.25" customHeight="1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ht="13.25" customHeight="1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ht="13.25" customHeight="1" x14ac:dyDescent="0.25">
      <c r="B24" s="104"/>
      <c r="C24" s="8" t="s">
        <v>147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ht="13.25" customHeight="1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ht="13.25" customHeight="1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150</v>
      </c>
      <c r="C51" s="8" t="s">
        <v>147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ht="13" customHeight="1" x14ac:dyDescent="0.3">
      <c r="A55" s="4" t="s">
        <v>236</v>
      </c>
      <c r="B55" s="103" t="s">
        <v>90</v>
      </c>
      <c r="C55" s="8" t="s">
        <v>145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146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147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67</v>
      </c>
      <c r="C58" s="8" t="s">
        <v>145</v>
      </c>
      <c r="D58" s="88">
        <f>IFERROR((MIN(1,1.37*'Breastfeeding distribution'!$C$2)/(1-MIN(1,1.37*'Breastfeeding distribution'!$C$2))) /
('Breastfeeding distribution'!$C$2/(1-'Breastfeeding distribution'!$C$2)), 1.37)</f>
        <v>1.37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146</v>
      </c>
      <c r="D59" s="88">
        <f>IFERROR((MIN(1,1.37*'Breastfeeding distribution'!$C$2)/(1-MIN(1,1.37*'Breastfeeding distribution'!$C$2))) /
('Breastfeeding distribution'!$C$2/(1-'Breastfeeding distribution'!$C$2)), 1.37)</f>
        <v>1.37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147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77</v>
      </c>
      <c r="C61" s="8" t="s">
        <v>145</v>
      </c>
      <c r="D61" s="88">
        <f t="shared" si="2"/>
        <v>1</v>
      </c>
      <c r="E61" s="88">
        <f>IFERROR((MIN(1,1.37*'Breastfeeding distribution'!$D$2)/(1-MIN(1,1.37*'Breastfeeding distribution'!$D$2))) /
('Breastfeeding distribution'!$D$2/(1-'Breastfeeding distribution'!$D$2)), 1.37)</f>
        <v>2.3539359200791403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146</v>
      </c>
      <c r="D62" s="88">
        <f t="shared" si="2"/>
        <v>1</v>
      </c>
      <c r="E62" s="88">
        <f>IFERROR((MIN(1,1.37*'Breastfeeding distribution'!$D$2)/(1-MIN(1,1.37*'Breastfeeding distribution'!$D$2))) /
('Breastfeeding distribution'!$D$2/(1-'Breastfeeding distribution'!$D$2)), 1.37)</f>
        <v>2.3539359200791403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147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78</v>
      </c>
      <c r="C64" s="8" t="s">
        <v>145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146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147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79</v>
      </c>
      <c r="C67" s="8" t="s">
        <v>145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146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147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150</v>
      </c>
      <c r="C70" s="8" t="s">
        <v>147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90</v>
      </c>
      <c r="C72" s="8" t="s">
        <v>145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146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147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67</v>
      </c>
      <c r="C75" s="8" t="s">
        <v>145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146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147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77</v>
      </c>
      <c r="C78" s="8" t="s">
        <v>145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146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147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78</v>
      </c>
      <c r="C81" s="8" t="s">
        <v>145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146</v>
      </c>
      <c r="D82" s="88">
        <f t="shared" ref="D82:H91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147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79</v>
      </c>
      <c r="C84" s="8" t="s">
        <v>145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146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147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150</v>
      </c>
      <c r="C87" s="8" t="s">
        <v>147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90</v>
      </c>
      <c r="C89" s="8" t="s">
        <v>145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146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147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67</v>
      </c>
      <c r="C92" s="8" t="s">
        <v>145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146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147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77</v>
      </c>
      <c r="C95" s="8" t="s">
        <v>145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146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147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78</v>
      </c>
      <c r="C98" s="8" t="s">
        <v>145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146</v>
      </c>
      <c r="D99" s="88">
        <f t="shared" ref="D99:H108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147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79</v>
      </c>
      <c r="C101" s="8" t="s">
        <v>145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146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147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150</v>
      </c>
      <c r="C104" s="8" t="s">
        <v>147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ht="13" customHeight="1" x14ac:dyDescent="0.3">
      <c r="A108" s="4" t="s">
        <v>240</v>
      </c>
      <c r="B108" s="103" t="s">
        <v>90</v>
      </c>
      <c r="C108" s="8" t="s">
        <v>145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146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147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67</v>
      </c>
      <c r="C111" s="8" t="s">
        <v>145</v>
      </c>
      <c r="D111" s="88">
        <f>IFERROR((MIN(1,1.77*'Breastfeeding distribution'!$C$2)/(1-MIN(1,1.77*'Breastfeeding distribution'!$C$2))) /
('Breastfeeding distribution'!$C$2/(1-'Breastfeeding distribution'!$C$2)), 1.77)</f>
        <v>1.77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146</v>
      </c>
      <c r="D112" s="88">
        <f>IFERROR((MIN(1,1.77*'Breastfeeding distribution'!$C$2)/(1-MIN(1,1.77*'Breastfeeding distribution'!$C$2))) /
('Breastfeeding distribution'!$C$2/(1-'Breastfeeding distribution'!$C$2)), 1.77)</f>
        <v>1.77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147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77</v>
      </c>
      <c r="C114" s="8" t="s">
        <v>145</v>
      </c>
      <c r="D114" s="88">
        <f t="shared" si="12"/>
        <v>1</v>
      </c>
      <c r="E114" s="88">
        <f>IFERROR((MIN(1,1.77*'Breastfeeding distribution'!$D$2)/(1-MIN(1,1.77*'Breastfeeding distribution'!$D$2))) /
('Breastfeeding distribution'!$D$2/(1-'Breastfeeding distribution'!$D$2)), 1.77)</f>
        <v>13.603212329673548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146</v>
      </c>
      <c r="D115" s="88">
        <f t="shared" si="12"/>
        <v>1</v>
      </c>
      <c r="E115" s="88">
        <f>IFERROR((MIN(1,1.77*'Breastfeeding distribution'!$D$2)/(1-MIN(1,1.77*'Breastfeeding distribution'!$D$2))) /
('Breastfeeding distribution'!$D$2/(1-'Breastfeeding distribution'!$D$2)), 1.77)</f>
        <v>13.603212329673548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147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78</v>
      </c>
      <c r="C117" s="8" t="s">
        <v>145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146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147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79</v>
      </c>
      <c r="C120" s="8" t="s">
        <v>145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146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147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150</v>
      </c>
      <c r="C123" s="8" t="s">
        <v>147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90</v>
      </c>
      <c r="C125" s="8" t="s">
        <v>145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146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147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67</v>
      </c>
      <c r="C128" s="8" t="s">
        <v>145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146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147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77</v>
      </c>
      <c r="C131" s="8" t="s">
        <v>145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146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147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78</v>
      </c>
      <c r="C134" s="8" t="s">
        <v>145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146</v>
      </c>
      <c r="D135" s="88">
        <f t="shared" ref="D135:H144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147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79</v>
      </c>
      <c r="C137" s="8" t="s">
        <v>145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146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147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150</v>
      </c>
      <c r="C140" s="8" t="s">
        <v>147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90</v>
      </c>
      <c r="C142" s="8" t="s">
        <v>145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146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147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67</v>
      </c>
      <c r="C145" s="8" t="s">
        <v>145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146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147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77</v>
      </c>
      <c r="C148" s="8" t="s">
        <v>145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146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147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78</v>
      </c>
      <c r="C151" s="8" t="s">
        <v>145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146</v>
      </c>
      <c r="D152" s="88">
        <f t="shared" ref="D152:H161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147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79</v>
      </c>
      <c r="C154" s="8" t="s">
        <v>145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146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147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150</v>
      </c>
      <c r="C157" s="8" t="s">
        <v>147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1IUQIPGO8A+lS5t9zmQeExgWOE7Hq9s+LMwGp5ZzK7cP6BPM6Y+s1H4DuDLssE5RfO3cDfuZkDwFgb68EXGf1A==" saltValue="EhqwdEStb6jxlKMHBUWr7g==" spinCount="100000" sheet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E28" sqref="E28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246</v>
      </c>
      <c r="C11" s="74"/>
      <c r="D11" s="75"/>
      <c r="E11" s="75"/>
      <c r="F11" s="75"/>
    </row>
    <row r="12" spans="1:6" ht="15.75" customHeight="1" x14ac:dyDescent="0.3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27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28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29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251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3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254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255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69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70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71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72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73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74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75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27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28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29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258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3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261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262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69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70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71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72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73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74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75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OEa5xq8Dht0iRzVx1fQ1EOJdDm09uSIzQRujIfp/VJ8GNGNECqE8Uut2U6j1omy5Y9ajcKxMUHwzsTWrCb+nAw==" saltValue="Poj67khbkyqhF7WVYd6Cs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E28" sqref="E28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271</v>
      </c>
    </row>
    <row r="29" spans="1:16" ht="13" customHeight="1" x14ac:dyDescent="0.3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274</v>
      </c>
    </row>
    <row r="56" spans="1:16" ht="26" customHeight="1" x14ac:dyDescent="0.3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278</v>
      </c>
    </row>
    <row r="65" spans="1:16" ht="26" customHeight="1" x14ac:dyDescent="0.3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68</v>
      </c>
      <c r="C66" s="3" t="s">
        <v>119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ht="13" customHeight="1" x14ac:dyDescent="0.3">
      <c r="A113" s="4"/>
      <c r="B113" s="8" t="s">
        <v>81</v>
      </c>
      <c r="C113" s="3" t="s">
        <v>267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268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269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270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268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269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270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84</v>
      </c>
      <c r="C121" s="3" t="s">
        <v>267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268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269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270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268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269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270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83</v>
      </c>
      <c r="C129" s="3" t="s">
        <v>267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268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269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270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89</v>
      </c>
      <c r="C133" s="3" t="s">
        <v>267</v>
      </c>
      <c r="D133" s="91">
        <f t="shared" ref="D133:H142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268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269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270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ht="13" customHeight="1" x14ac:dyDescent="0.3">
      <c r="A140" s="4"/>
      <c r="B140" s="8" t="s">
        <v>81</v>
      </c>
      <c r="C140" s="3" t="s">
        <v>267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268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204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205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82</v>
      </c>
      <c r="C144" s="3" t="s">
        <v>267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268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204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205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84</v>
      </c>
      <c r="C148" s="3" t="s">
        <v>267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268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204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205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85</v>
      </c>
      <c r="C152" s="3" t="s">
        <v>267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268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204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205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83</v>
      </c>
      <c r="C156" s="3" t="s">
        <v>267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268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204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205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89</v>
      </c>
      <c r="C160" s="3" t="s">
        <v>267</v>
      </c>
      <c r="D160" s="91">
        <f t="shared" ref="D160:H169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268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204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205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ht="13" customHeight="1" x14ac:dyDescent="0.3">
      <c r="A167" s="4"/>
      <c r="B167" s="8" t="s">
        <v>91</v>
      </c>
      <c r="C167" s="3" t="s">
        <v>276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277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277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277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ht="13" customHeight="1" x14ac:dyDescent="0.3">
      <c r="A176" s="82"/>
      <c r="B176" s="8" t="s">
        <v>68</v>
      </c>
      <c r="C176" s="3" t="s">
        <v>119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ht="13" customHeight="1" x14ac:dyDescent="0.3">
      <c r="A215" s="4"/>
      <c r="C215" s="3" t="s">
        <v>119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ht="13" customHeight="1" x14ac:dyDescent="0.3">
      <c r="A223" s="4"/>
      <c r="B223" s="8" t="s">
        <v>81</v>
      </c>
      <c r="C223" s="3" t="s">
        <v>267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268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269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270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268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269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270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268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269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270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268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269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270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268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269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270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268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269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270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ht="13" customHeight="1" x14ac:dyDescent="0.3">
      <c r="A250" s="4"/>
      <c r="B250" s="8" t="s">
        <v>81</v>
      </c>
      <c r="C250" s="3" t="s">
        <v>267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268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204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205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268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204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205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268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204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205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268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204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205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268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204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205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268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204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205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ht="13" customHeight="1" x14ac:dyDescent="0.3">
      <c r="A277" s="4"/>
      <c r="B277" s="8" t="s">
        <v>91</v>
      </c>
      <c r="C277" s="3" t="s">
        <v>276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277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277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277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ht="13" customHeight="1" x14ac:dyDescent="0.3">
      <c r="A286" s="82"/>
      <c r="B286" s="8" t="s">
        <v>68</v>
      </c>
      <c r="C286" s="3" t="s">
        <v>119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ht="13" customHeight="1" x14ac:dyDescent="0.3">
      <c r="A325" s="4"/>
      <c r="C325" s="3" t="s">
        <v>119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rzjjr+eUY+zLxtgvRuigrXBCYk8ZjZeKkvy/Wu7lqFGhk7GKsrVngS9i2Jt2gxX9Fn0pC2b9tyB7+BxRGGivEA==" saltValue="vsQDJsypwJz22iUc18xJ6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E28" sqref="E28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281</v>
      </c>
    </row>
    <row r="2" spans="1:7" ht="14.25" customHeight="1" x14ac:dyDescent="0.3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f>IF(ISBLANK('Nutritional status distribution'!$E$4),0.64, (0.64*SUM('Nutritional status distribution'!$E$4:$E$5)/(1-0.64*SUM('Nutritional status distribution'!$E$4:$E$5)))
/ (SUM('Nutritional status distribution'!$E$4:$E$5)/(1-SUM('Nutritional status distribution'!$E$4:$E$5))))</f>
        <v>0.58909094746679513</v>
      </c>
      <c r="F6" s="90">
        <f>IF(ISBLANK('Nutritional status distribution'!$F$4),0.64, (0.64*SUM('Nutritional status distribution'!$F$4:$F$5)/(1-0.64*SUM('Nutritional status distribution'!$F$4:$F$5)))/ (SUM('Nutritional status distribution'!$F$4:$F$5)/(1-SUM('Nutritional status distribution'!$F$4:$F$5))))</f>
        <v>0.51321164618300186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0.85536001961406793</v>
      </c>
      <c r="F7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0.81304597225081709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0.85536001961406793</v>
      </c>
      <c r="F8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0.81304597225081709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287</v>
      </c>
    </row>
    <row r="15" spans="1:7" ht="14.25" customHeight="1" x14ac:dyDescent="0.3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291</v>
      </c>
    </row>
    <row r="20" spans="1:7" s="14" customFormat="1" ht="14.25" customHeight="1" x14ac:dyDescent="0.3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281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293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294</v>
      </c>
    </row>
    <row r="29" spans="1:7" x14ac:dyDescent="0.25">
      <c r="B29" s="5" t="s">
        <v>295</v>
      </c>
      <c r="C29" s="90">
        <f t="shared" ref="C29:D32" si="0">IF(C6=1,1,C6*0.9)</f>
        <v>1</v>
      </c>
      <c r="D29" s="90">
        <f t="shared" si="0"/>
        <v>1</v>
      </c>
      <c r="E29" s="90">
        <f>IF(ISBLANK('Nutritional status distribution'!E$4),0.44, (0.44*SUM('Nutritional status distribution'!E$4:E$5)/(1-0.44*SUM('Nutritional status distribution'!E$4:E$5)))/ (SUM('Nutritional status distribution'!E$4:E$5)/(1-SUM('Nutritional status distribution'!E$4:E$5))))</f>
        <v>0.3878597716187881</v>
      </c>
      <c r="F29" s="90">
        <f>IF(ISBLANK('Nutritional status distribution'!F$4),0.44, (0.44*SUM('Nutritional status distribution'!F$4:F$5)/(1-0.44*SUM('Nutritional status distribution'!F$4:F$5)))/ (SUM('Nutritional status distribution'!F$4:F$5)/(1-SUM('Nutritional status distribution'!F$4:F$5))))</f>
        <v>0.31785058298638885</v>
      </c>
      <c r="G29" s="90">
        <f>IF(G6=1,1,G6*0.9)</f>
        <v>1</v>
      </c>
    </row>
    <row r="30" spans="1:7" x14ac:dyDescent="0.25">
      <c r="B30" s="5" t="s">
        <v>296</v>
      </c>
      <c r="C30" s="90">
        <f t="shared" si="0"/>
        <v>1</v>
      </c>
      <c r="D30" s="90">
        <f t="shared" si="0"/>
        <v>1</v>
      </c>
      <c r="E30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0.82045682573697964</v>
      </c>
      <c r="F30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0.77066956650888929</v>
      </c>
      <c r="G30" s="90">
        <f>IF(G7=1,1,G7*0.9)</f>
        <v>1</v>
      </c>
    </row>
    <row r="31" spans="1:7" x14ac:dyDescent="0.25">
      <c r="B31" s="5" t="s">
        <v>297</v>
      </c>
      <c r="C31" s="90">
        <f t="shared" si="0"/>
        <v>1</v>
      </c>
      <c r="D31" s="90">
        <f t="shared" si="0"/>
        <v>1</v>
      </c>
      <c r="E31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0.82045682573697964</v>
      </c>
      <c r="F31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0.77066956650888929</v>
      </c>
      <c r="G31" s="90">
        <f>IF(G8=1,1,G8*0.9)</f>
        <v>1</v>
      </c>
    </row>
    <row r="32" spans="1:7" x14ac:dyDescent="0.25">
      <c r="B32" s="5" t="s">
        <v>298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299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287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272</v>
      </c>
      <c r="B38" s="5" t="s">
        <v>301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302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111</v>
      </c>
      <c r="B40" s="11" t="s">
        <v>303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304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281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307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308</v>
      </c>
    </row>
    <row r="52" spans="1:7" x14ac:dyDescent="0.25">
      <c r="B52" s="5" t="s">
        <v>309</v>
      </c>
      <c r="C52" s="90">
        <f t="shared" ref="C52:D55" si="3">IF(C6=1,1,C6*1.1)</f>
        <v>1</v>
      </c>
      <c r="D52" s="90">
        <f t="shared" si="3"/>
        <v>1</v>
      </c>
      <c r="E52" s="90">
        <f>IF(ISBLANK('Nutritional status distribution'!E$4),0.92, (0.92*SUM('Nutritional status distribution'!E$4:E$5)/(1-0.92*SUM('Nutritional status distribution'!E$4:E$5)))/ (SUM('Nutritional status distribution'!E$4:E$5)/(1-SUM('Nutritional status distribution'!E$4:E$5))))</f>
        <v>0.9026648860691826</v>
      </c>
      <c r="F52" s="90">
        <f>IF(ISBLANK('Nutritional status distribution'!F$4),0.92, (0.92*SUM('Nutritional status distribution'!F$4:F$5)/(1-0.92*SUM('Nutritional status distribution'!F$4:F$5)))/ (SUM('Nutritional status distribution'!F$4:F$5)/(1-SUM('Nutritional status distribution'!F$4:F$5))))</f>
        <v>0.87212078898429879</v>
      </c>
      <c r="G52" s="90">
        <f>IF(G6=1,1,G6*1.1)</f>
        <v>1</v>
      </c>
    </row>
    <row r="53" spans="1:7" x14ac:dyDescent="0.25">
      <c r="B53" s="5" t="s">
        <v>310</v>
      </c>
      <c r="C53" s="90">
        <f t="shared" si="3"/>
        <v>1</v>
      </c>
      <c r="D53" s="90">
        <f t="shared" si="3"/>
        <v>1</v>
      </c>
      <c r="E53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0.89075530243633627</v>
      </c>
      <c r="F53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0.85706572190924968</v>
      </c>
      <c r="G53" s="90">
        <f>IF(G7=1,1,G7*1.1)</f>
        <v>1</v>
      </c>
    </row>
    <row r="54" spans="1:7" x14ac:dyDescent="0.25">
      <c r="B54" s="5" t="s">
        <v>311</v>
      </c>
      <c r="C54" s="90">
        <f t="shared" si="3"/>
        <v>1</v>
      </c>
      <c r="D54" s="90">
        <f t="shared" si="3"/>
        <v>1</v>
      </c>
      <c r="E54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0.89075530243633627</v>
      </c>
      <c r="F54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0.85706572190924968</v>
      </c>
      <c r="G54" s="90">
        <f>IF(G8=1,1,G8*1.1)</f>
        <v>1</v>
      </c>
    </row>
    <row r="55" spans="1:7" x14ac:dyDescent="0.25">
      <c r="B55" s="5" t="s">
        <v>312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313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287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272</v>
      </c>
      <c r="B61" s="5" t="s">
        <v>315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316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111</v>
      </c>
      <c r="B63" s="11" t="s">
        <v>317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318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uxH3qxfpHv3MxEVFpMF959vuuHVMbjUY0YDJlIXIgHOAA25UaRTm/IIjRx7RzEUfWaTP3eP7cZpYIm+m6J8PbA==" saltValue="wm1A0TwV/0DyOIoqtNvf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E28" sqref="E28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179</v>
      </c>
      <c r="B19" s="5" t="s">
        <v>320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180</v>
      </c>
      <c r="B21" s="5" t="s">
        <v>320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181</v>
      </c>
      <c r="B23" s="5" t="s">
        <v>320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320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189</v>
      </c>
      <c r="B27" s="5" t="s">
        <v>320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179</v>
      </c>
      <c r="B34" s="5" t="s">
        <v>320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180</v>
      </c>
      <c r="B36" s="5" t="s">
        <v>320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181</v>
      </c>
      <c r="B38" s="5" t="s">
        <v>320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320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189</v>
      </c>
      <c r="B42" s="5" t="s">
        <v>320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lEvf/7Nn9p0s2t120JFgJzNA1BIMAO9h8EmTziKGX5ZA7K3Y+rQ77oXfzNqKwsdbYQwCY96ujjsdxuDmqt1luA==" saltValue="pZcegXbvW/wKpwHEQP8p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8" zoomScale="70" zoomScaleNormal="70" workbookViewId="0">
      <selection activeCell="E28" sqref="E28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ht="13" customHeight="1" x14ac:dyDescent="0.3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f>IF(ISBLANK('Nutritional status distribution'!E$14),0.72,(0.72*'Nutritional status distribution'!E$14/(1-0.72*'Nutritional status distribution'!E$14))
/ ('Nutritional status distribution'!E$14/(1-'Nutritional status distribution'!E$14)))</f>
        <v>0.51997564670864349</v>
      </c>
      <c r="F19" s="90">
        <f>IF(ISBLANK('Nutritional status distribution'!F$14),0.72,(0.72*'Nutritional status distribution'!F$14/(1-0.72*'Nutritional status distribution'!F$14))
/ ('Nutritional status distribution'!F$14/(1-'Nutritional status distribution'!F$14)))</f>
        <v>0.52689487989223216</v>
      </c>
      <c r="G19" s="90">
        <f>IF(ISBLANK('Nutritional status distribution'!G$14),0.72,(0.72*'Nutritional status distribution'!G$14/(1-0.72*'Nutritional status distribution'!G$14))
/ ('Nutritional status distribution'!G$14/(1-'Nutritional status distribution'!G$14)))</f>
        <v>0.52689487989223216</v>
      </c>
      <c r="H19" s="90">
        <f>IF(ISBLANK('Nutritional status distribution'!H$14),0.72,(0.72*'Nutritional status distribution'!H$14/(1-0.72*'Nutritional status distribution'!H$14))
/ ('Nutritional status distribution'!H$14/(1-'Nutritional status distribution'!H$14)))</f>
        <v>0.62888346940939455</v>
      </c>
      <c r="I19" s="90">
        <f>IF(ISBLANK('Nutritional status distribution'!I$14),0.72,(0.72*'Nutritional status distribution'!I$14/(1-0.72*'Nutritional status distribution'!I$14))
/ ('Nutritional status distribution'!I$14/(1-'Nutritional status distribution'!I$14)))</f>
        <v>0.62888346940939455</v>
      </c>
      <c r="J19" s="90">
        <f>IF(ISBLANK('Nutritional status distribution'!J$14),0.72,(0.72*'Nutritional status distribution'!J$14/(1-0.72*'Nutritional status distribution'!J$14))
/ ('Nutritional status distribution'!J$14/(1-'Nutritional status distribution'!J$14)))</f>
        <v>0.62888346940939455</v>
      </c>
      <c r="K19" s="90">
        <f>IF(ISBLANK('Nutritional status distribution'!K$14),0.72,(0.72*'Nutritional status distribution'!K$14/(1-0.72*'Nutritional status distribution'!K$14))
/ ('Nutritional status distribution'!K$14/(1-'Nutritional status distribution'!K$14)))</f>
        <v>0.62888346940939455</v>
      </c>
      <c r="L19" s="90">
        <f>IF(ISBLANK('Nutritional status distribution'!L$14),0.72,(0.72*'Nutritional status distribution'!L$14/(1-0.72*'Nutritional status distribution'!L$14))
/ ('Nutritional status distribution'!L$14/(1-'Nutritional status distribution'!L$14)))</f>
        <v>0.64154035231462503</v>
      </c>
      <c r="M19" s="90">
        <f>IF(ISBLANK('Nutritional status distribution'!M$14),0.72,(0.72*'Nutritional status distribution'!M$14/(1-0.72*'Nutritional status distribution'!M$14))
/ ('Nutritional status distribution'!M$14/(1-'Nutritional status distribution'!M$14)))</f>
        <v>0.64154035231462503</v>
      </c>
      <c r="N19" s="90">
        <f>IF(ISBLANK('Nutritional status distribution'!N$14),0.72,(0.72*'Nutritional status distribution'!N$14/(1-0.72*'Nutritional status distribution'!N$14))
/ ('Nutritional status distribution'!N$14/(1-'Nutritional status distribution'!N$14)))</f>
        <v>0.64154035231462503</v>
      </c>
      <c r="O19" s="90">
        <f>IF(ISBLANK('Nutritional status distribution'!O$14),0.72,(0.72*'Nutritional status distribution'!O$14/(1-0.72*'Nutritional status distribution'!O$14))
/ ('Nutritional status distribution'!O$14/(1-'Nutritional status distribution'!O$14)))</f>
        <v>0.64154035231462503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f>IF(ISBLANK('Nutritional status distribution'!E$14),0.8,(0.8*'Nutritional status distribution'!E$14/(1-0.8*'Nutritional status distribution'!E$14))
/ ('Nutritional status distribution'!E$14/(1-'Nutritional status distribution'!E$14)))</f>
        <v>0.62756340259421994</v>
      </c>
      <c r="F21" s="90">
        <f>IF(ISBLANK('Nutritional status distribution'!F$14),0.8,(0.8*'Nutritional status distribution'!F$14/(1-0.8*'Nutritional status distribution'!F$14))
/ ('Nutritional status distribution'!F$14/(1-'Nutritional status distribution'!F$14)))</f>
        <v>0.63402334005160443</v>
      </c>
      <c r="G21" s="90">
        <f>IF(ISBLANK('Nutritional status distribution'!G$14),0.8,(0.8*'Nutritional status distribution'!G$14/(1-0.8*'Nutritional status distribution'!G$14))
/ ('Nutritional status distribution'!G$14/(1-'Nutritional status distribution'!G$14)))</f>
        <v>0.63402334005160443</v>
      </c>
      <c r="H21" s="90">
        <f>IF(ISBLANK('Nutritional status distribution'!H$14),0.8,(0.8*'Nutritional status distribution'!H$14/(1-0.8*'Nutritional status distribution'!H$14))
/ ('Nutritional status distribution'!H$14/(1-'Nutritional status distribution'!H$14)))</f>
        <v>0.72497249724972512</v>
      </c>
      <c r="I21" s="90">
        <f>IF(ISBLANK('Nutritional status distribution'!I$14),0.8,(0.8*'Nutritional status distribution'!I$14/(1-0.8*'Nutritional status distribution'!I$14))
/ ('Nutritional status distribution'!I$14/(1-'Nutritional status distribution'!I$14)))</f>
        <v>0.72497249724972512</v>
      </c>
      <c r="J21" s="90">
        <f>IF(ISBLANK('Nutritional status distribution'!J$14),0.8,(0.8*'Nutritional status distribution'!J$14/(1-0.8*'Nutritional status distribution'!J$14))
/ ('Nutritional status distribution'!J$14/(1-'Nutritional status distribution'!J$14)))</f>
        <v>0.72497249724972512</v>
      </c>
      <c r="K21" s="90">
        <f>IF(ISBLANK('Nutritional status distribution'!K$14),0.8,(0.8*'Nutritional status distribution'!K$14/(1-0.8*'Nutritional status distribution'!K$14))
/ ('Nutritional status distribution'!K$14/(1-'Nutritional status distribution'!K$14)))</f>
        <v>0.72497249724972512</v>
      </c>
      <c r="L21" s="90">
        <f>IF(ISBLANK('Nutritional status distribution'!L$14),0.8,(0.8*'Nutritional status distribution'!L$14/(1-0.8*'Nutritional status distribution'!L$14))
/ ('Nutritional status distribution'!L$14/(1-'Nutritional status distribution'!L$14)))</f>
        <v>0.73572938689217748</v>
      </c>
      <c r="M21" s="90">
        <f>IF(ISBLANK('Nutritional status distribution'!M$14),0.8,(0.8*'Nutritional status distribution'!M$14/(1-0.8*'Nutritional status distribution'!M$14))
/ ('Nutritional status distribution'!M$14/(1-'Nutritional status distribution'!M$14)))</f>
        <v>0.73572938689217748</v>
      </c>
      <c r="N21" s="90">
        <f>IF(ISBLANK('Nutritional status distribution'!N$14),0.8,(0.8*'Nutritional status distribution'!N$14/(1-0.8*'Nutritional status distribution'!N$14))
/ ('Nutritional status distribution'!N$14/(1-'Nutritional status distribution'!N$14)))</f>
        <v>0.73572938689217748</v>
      </c>
      <c r="O21" s="90">
        <f>IF(ISBLANK('Nutritional status distribution'!O$14),0.8,(0.8*'Nutritional status distribution'!O$14/(1-0.8*'Nutritional status distribution'!O$14))
/ ('Nutritional status distribution'!O$14/(1-'Nutritional status distribution'!O$14)))</f>
        <v>0.73572938689217748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ht="13" customHeight="1" x14ac:dyDescent="0.3">
      <c r="A25" s="4" t="s">
        <v>324</v>
      </c>
    </row>
    <row r="26" spans="1:15" x14ac:dyDescent="0.25">
      <c r="B26" s="11" t="s">
        <v>170</v>
      </c>
      <c r="C26" s="90">
        <v>0.4</v>
      </c>
      <c r="D26" s="90">
        <v>0.4</v>
      </c>
      <c r="E26" s="90">
        <f t="shared" ref="E26:O26" si="0">IF(E3=1,1,E3*0.9)</f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175</v>
      </c>
      <c r="C27" s="90">
        <f t="shared" ref="C27:G33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2">IF(L4=1,1,L4*0.9)</f>
        <v>1</v>
      </c>
      <c r="M27" s="90">
        <f t="shared" si="2"/>
        <v>1</v>
      </c>
      <c r="N27" s="90">
        <f t="shared" si="2"/>
        <v>1</v>
      </c>
      <c r="O27" s="90">
        <f t="shared" si="2"/>
        <v>1</v>
      </c>
    </row>
    <row r="28" spans="1:15" x14ac:dyDescent="0.25">
      <c r="B28" s="11" t="s">
        <v>176</v>
      </c>
      <c r="C28" s="90">
        <f t="shared" si="1"/>
        <v>1</v>
      </c>
      <c r="D28" s="90">
        <f t="shared" si="1"/>
        <v>1</v>
      </c>
      <c r="E28" s="90">
        <f t="shared" si="1"/>
        <v>1</v>
      </c>
      <c r="F28" s="90">
        <f t="shared" si="1"/>
        <v>1</v>
      </c>
      <c r="G28" s="90">
        <f t="shared" si="1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177</v>
      </c>
      <c r="C29" s="90">
        <f t="shared" si="1"/>
        <v>1</v>
      </c>
      <c r="D29" s="90">
        <f t="shared" si="1"/>
        <v>1</v>
      </c>
      <c r="E29" s="90">
        <f t="shared" si="1"/>
        <v>1</v>
      </c>
      <c r="F29" s="90">
        <f t="shared" si="1"/>
        <v>1</v>
      </c>
      <c r="G29" s="90">
        <f t="shared" si="1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2"/>
        <v>1</v>
      </c>
      <c r="M29" s="90">
        <f t="shared" si="2"/>
        <v>1</v>
      </c>
      <c r="N29" s="90">
        <f t="shared" si="2"/>
        <v>1</v>
      </c>
      <c r="O29" s="90">
        <f t="shared" si="2"/>
        <v>1</v>
      </c>
    </row>
    <row r="30" spans="1:15" x14ac:dyDescent="0.25">
      <c r="B30" s="11" t="s">
        <v>178</v>
      </c>
      <c r="C30" s="90">
        <f t="shared" si="1"/>
        <v>1</v>
      </c>
      <c r="D30" s="90">
        <f t="shared" si="1"/>
        <v>1</v>
      </c>
      <c r="E30" s="90">
        <f t="shared" si="1"/>
        <v>1</v>
      </c>
      <c r="F30" s="90">
        <f t="shared" si="1"/>
        <v>1</v>
      </c>
      <c r="G30" s="90">
        <f t="shared" si="1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2"/>
        <v>1</v>
      </c>
      <c r="M30" s="90">
        <f t="shared" si="2"/>
        <v>1</v>
      </c>
      <c r="N30" s="90">
        <f t="shared" si="2"/>
        <v>1</v>
      </c>
      <c r="O30" s="90">
        <f t="shared" si="2"/>
        <v>1</v>
      </c>
    </row>
    <row r="31" spans="1:15" x14ac:dyDescent="0.25">
      <c r="B31" s="5" t="s">
        <v>179</v>
      </c>
      <c r="C31" s="90">
        <f t="shared" si="1"/>
        <v>1</v>
      </c>
      <c r="D31" s="90">
        <f t="shared" si="1"/>
        <v>1</v>
      </c>
      <c r="E31" s="90">
        <f t="shared" si="1"/>
        <v>1</v>
      </c>
      <c r="F31" s="90">
        <f t="shared" si="1"/>
        <v>1</v>
      </c>
      <c r="G31" s="90">
        <f t="shared" si="1"/>
        <v>1</v>
      </c>
      <c r="H31" s="90">
        <f t="shared" ref="H31:K34" si="3">IF(H8=1,1,H8*0.9)</f>
        <v>1</v>
      </c>
      <c r="I31" s="90">
        <f t="shared" si="3"/>
        <v>1</v>
      </c>
      <c r="J31" s="90">
        <f t="shared" si="3"/>
        <v>1</v>
      </c>
      <c r="K31" s="90">
        <f t="shared" si="3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180</v>
      </c>
      <c r="C32" s="90">
        <f t="shared" si="1"/>
        <v>1</v>
      </c>
      <c r="D32" s="90">
        <f t="shared" si="1"/>
        <v>1</v>
      </c>
      <c r="E32" s="90">
        <f t="shared" si="1"/>
        <v>1</v>
      </c>
      <c r="F32" s="90">
        <f t="shared" si="1"/>
        <v>1</v>
      </c>
      <c r="G32" s="90">
        <f t="shared" si="1"/>
        <v>1</v>
      </c>
      <c r="H32" s="90">
        <f t="shared" si="3"/>
        <v>1</v>
      </c>
      <c r="I32" s="90">
        <f t="shared" si="3"/>
        <v>1</v>
      </c>
      <c r="J32" s="90">
        <f t="shared" si="3"/>
        <v>1</v>
      </c>
      <c r="K32" s="90">
        <f t="shared" si="3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181</v>
      </c>
      <c r="C33" s="90">
        <f t="shared" si="1"/>
        <v>1</v>
      </c>
      <c r="D33" s="90">
        <f t="shared" si="1"/>
        <v>1</v>
      </c>
      <c r="E33" s="90">
        <f t="shared" si="1"/>
        <v>1</v>
      </c>
      <c r="F33" s="90">
        <f t="shared" si="1"/>
        <v>1</v>
      </c>
      <c r="G33" s="90">
        <f t="shared" si="1"/>
        <v>1</v>
      </c>
      <c r="H33" s="90">
        <f t="shared" si="3"/>
        <v>1</v>
      </c>
      <c r="I33" s="90">
        <f t="shared" si="3"/>
        <v>1</v>
      </c>
      <c r="J33" s="90">
        <f t="shared" si="3"/>
        <v>1</v>
      </c>
      <c r="K33" s="90">
        <f t="shared" si="3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184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3"/>
        <v>1</v>
      </c>
      <c r="I34" s="90">
        <f t="shared" si="3"/>
        <v>1</v>
      </c>
      <c r="J34" s="90">
        <f t="shared" si="3"/>
        <v>1</v>
      </c>
      <c r="K34" s="90">
        <f t="shared" si="3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185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188</v>
      </c>
      <c r="C36" s="90">
        <f t="shared" ref="C36:D38" si="4">IF(C13=1,1,C13*0.9)</f>
        <v>1</v>
      </c>
      <c r="D36" s="90">
        <f t="shared" si="4"/>
        <v>1</v>
      </c>
      <c r="E36" s="90">
        <v>0.62</v>
      </c>
      <c r="F36" s="90">
        <v>0.62</v>
      </c>
      <c r="G36" s="90">
        <v>0.62</v>
      </c>
      <c r="H36" s="90">
        <f t="shared" ref="H36:O36" si="5">IF(H13=1,1,H13*0.9)</f>
        <v>1</v>
      </c>
      <c r="I36" s="90">
        <f t="shared" si="5"/>
        <v>1</v>
      </c>
      <c r="J36" s="90">
        <f t="shared" si="5"/>
        <v>1</v>
      </c>
      <c r="K36" s="90">
        <f t="shared" si="5"/>
        <v>1</v>
      </c>
      <c r="L36" s="90">
        <f t="shared" si="5"/>
        <v>1</v>
      </c>
      <c r="M36" s="90">
        <f t="shared" si="5"/>
        <v>1</v>
      </c>
      <c r="N36" s="90">
        <f t="shared" si="5"/>
        <v>1</v>
      </c>
      <c r="O36" s="90">
        <f t="shared" si="5"/>
        <v>1</v>
      </c>
    </row>
    <row r="37" spans="1:15" x14ac:dyDescent="0.25">
      <c r="B37" s="11" t="s">
        <v>189</v>
      </c>
      <c r="C37" s="90">
        <f t="shared" si="4"/>
        <v>1</v>
      </c>
      <c r="D37" s="90">
        <f t="shared" si="4"/>
        <v>1</v>
      </c>
      <c r="E37" s="90">
        <f t="shared" ref="E37:K37" si="6">IF(E14=1,1,E14*0.9)</f>
        <v>1</v>
      </c>
      <c r="F37" s="90">
        <f t="shared" si="6"/>
        <v>1</v>
      </c>
      <c r="G37" s="90">
        <f t="shared" si="6"/>
        <v>1</v>
      </c>
      <c r="H37" s="90">
        <f t="shared" si="6"/>
        <v>1</v>
      </c>
      <c r="I37" s="90">
        <f t="shared" si="6"/>
        <v>1</v>
      </c>
      <c r="J37" s="90">
        <f t="shared" si="6"/>
        <v>1</v>
      </c>
      <c r="K37" s="90">
        <f t="shared" si="6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192</v>
      </c>
      <c r="C38" s="90">
        <f t="shared" si="4"/>
        <v>1</v>
      </c>
      <c r="D38" s="90">
        <f t="shared" si="4"/>
        <v>1</v>
      </c>
      <c r="E38" s="90">
        <v>0.3</v>
      </c>
      <c r="F38" s="90">
        <v>0.3</v>
      </c>
      <c r="G38" s="90">
        <f t="shared" ref="G38:O38" si="7">IF(G15=1,1,G15*0.9)</f>
        <v>1</v>
      </c>
      <c r="H38" s="90">
        <f t="shared" si="7"/>
        <v>1</v>
      </c>
      <c r="I38" s="90">
        <f t="shared" si="7"/>
        <v>1</v>
      </c>
      <c r="J38" s="90">
        <f t="shared" si="7"/>
        <v>1</v>
      </c>
      <c r="K38" s="90">
        <f t="shared" si="7"/>
        <v>1</v>
      </c>
      <c r="L38" s="90">
        <f t="shared" si="7"/>
        <v>1</v>
      </c>
      <c r="M38" s="90">
        <f t="shared" si="7"/>
        <v>1</v>
      </c>
      <c r="N38" s="90">
        <f t="shared" si="7"/>
        <v>1</v>
      </c>
      <c r="O38" s="90">
        <f t="shared" si="7"/>
        <v>1</v>
      </c>
    </row>
    <row r="40" spans="1:15" ht="13" customHeight="1" x14ac:dyDescent="0.3">
      <c r="A40" s="4" t="s">
        <v>325</v>
      </c>
      <c r="B40" s="11"/>
    </row>
    <row r="41" spans="1:15" x14ac:dyDescent="0.25">
      <c r="B41" s="5" t="s">
        <v>172</v>
      </c>
      <c r="C41" s="90">
        <f t="shared" ref="C41:O41" si="8">IF(C18=1,1,C18*0.9)</f>
        <v>1</v>
      </c>
      <c r="D41" s="90">
        <f t="shared" si="8"/>
        <v>1</v>
      </c>
      <c r="E41" s="90">
        <f t="shared" si="8"/>
        <v>1</v>
      </c>
      <c r="F41" s="90">
        <f t="shared" si="8"/>
        <v>1</v>
      </c>
      <c r="G41" s="90">
        <f t="shared" si="8"/>
        <v>1</v>
      </c>
      <c r="H41" s="90">
        <f t="shared" si="8"/>
        <v>1</v>
      </c>
      <c r="I41" s="90">
        <f t="shared" si="8"/>
        <v>1</v>
      </c>
      <c r="J41" s="90">
        <f t="shared" si="8"/>
        <v>1</v>
      </c>
      <c r="K41" s="90">
        <f t="shared" si="8"/>
        <v>1</v>
      </c>
      <c r="L41" s="90">
        <f t="shared" si="8"/>
        <v>1</v>
      </c>
      <c r="M41" s="90">
        <f t="shared" si="8"/>
        <v>1</v>
      </c>
      <c r="N41" s="90">
        <f t="shared" si="8"/>
        <v>1</v>
      </c>
      <c r="O41" s="90">
        <f t="shared" si="8"/>
        <v>1</v>
      </c>
    </row>
    <row r="42" spans="1:15" x14ac:dyDescent="0.25">
      <c r="B42" s="5" t="s">
        <v>173</v>
      </c>
      <c r="C42" s="90">
        <f t="shared" ref="C42:D44" si="9">IF(C19=1,1,C19*0.9)</f>
        <v>1</v>
      </c>
      <c r="D42" s="90">
        <f t="shared" si="9"/>
        <v>1</v>
      </c>
      <c r="E42" s="90">
        <f>IF(ISBLANK('Nutritional status distribution'!E$14),0.54,(0.54*'Nutritional status distribution'!E$14/(1-0.54*'Nutritional status distribution'!E$14))
/ ('Nutritional status distribution'!E$14/(1-'Nutritional status distribution'!E$14)))</f>
        <v>0.33088748866351742</v>
      </c>
      <c r="F42" s="90">
        <f>IF(ISBLANK('Nutritional status distribution'!F$14),0.54,(0.54*'Nutritional status distribution'!F$14/(1-0.54*'Nutritional status distribution'!F$14))
/ ('Nutritional status distribution'!F$14/(1-'Nutritional status distribution'!F$14)))</f>
        <v>0.3370573249102487</v>
      </c>
      <c r="G42" s="90">
        <f>IF(ISBLANK('Nutritional status distribution'!G$14),0.54,(0.54*'Nutritional status distribution'!G$14/(1-0.54*'Nutritional status distribution'!G$14))
/ ('Nutritional status distribution'!G$14/(1-'Nutritional status distribution'!G$14)))</f>
        <v>0.3370573249102487</v>
      </c>
      <c r="H42" s="90">
        <f>IF(ISBLANK('Nutritional status distribution'!H$14),0.54,(0.54*'Nutritional status distribution'!H$14/(1-0.54*'Nutritional status distribution'!H$14))
/ ('Nutritional status distribution'!H$14/(1-'Nutritional status distribution'!H$14)))</f>
        <v>0.43617777559875476</v>
      </c>
      <c r="I42" s="90">
        <f>IF(ISBLANK('Nutritional status distribution'!I$14),0.54,(0.54*'Nutritional status distribution'!I$14/(1-0.54*'Nutritional status distribution'!I$14))
/ ('Nutritional status distribution'!I$14/(1-'Nutritional status distribution'!I$14)))</f>
        <v>0.43617777559875476</v>
      </c>
      <c r="J42" s="90">
        <f>IF(ISBLANK('Nutritional status distribution'!J$14),0.54,(0.54*'Nutritional status distribution'!J$14/(1-0.54*'Nutritional status distribution'!J$14))
/ ('Nutritional status distribution'!J$14/(1-'Nutritional status distribution'!J$14)))</f>
        <v>0.43617777559875476</v>
      </c>
      <c r="K42" s="90">
        <f>IF(ISBLANK('Nutritional status distribution'!K$14),0.54,(0.54*'Nutritional status distribution'!K$14/(1-0.54*'Nutritional status distribution'!K$14))
/ ('Nutritional status distribution'!K$14/(1-'Nutritional status distribution'!K$14)))</f>
        <v>0.43617777559875476</v>
      </c>
      <c r="L42" s="90">
        <f>IF(ISBLANK('Nutritional status distribution'!L$14),0.54,(0.54*'Nutritional status distribution'!L$14/(1-0.54*'Nutritional status distribution'!L$14))
/ ('Nutritional status distribution'!L$14/(1-'Nutritional status distribution'!L$14)))</f>
        <v>0.44965543644716688</v>
      </c>
      <c r="M42" s="90">
        <f>IF(ISBLANK('Nutritional status distribution'!M$14),0.54,(0.54*'Nutritional status distribution'!M$14/(1-0.54*'Nutritional status distribution'!M$14))
/ ('Nutritional status distribution'!M$14/(1-'Nutritional status distribution'!M$14)))</f>
        <v>0.44965543644716688</v>
      </c>
      <c r="N42" s="90">
        <f>IF(ISBLANK('Nutritional status distribution'!N$14),0.54,(0.54*'Nutritional status distribution'!N$14/(1-0.54*'Nutritional status distribution'!N$14))
/ ('Nutritional status distribution'!N$14/(1-'Nutritional status distribution'!N$14)))</f>
        <v>0.44965543644716688</v>
      </c>
      <c r="O42" s="90">
        <f>IF(ISBLANK('Nutritional status distribution'!O$14),0.54,(0.54*'Nutritional status distribution'!O$14/(1-0.54*'Nutritional status distribution'!O$14))
/ ('Nutritional status distribution'!O$14/(1-'Nutritional status distribution'!O$14)))</f>
        <v>0.44965543644716688</v>
      </c>
    </row>
    <row r="43" spans="1:15" x14ac:dyDescent="0.25">
      <c r="B43" s="5" t="s">
        <v>174</v>
      </c>
      <c r="C43" s="90">
        <f t="shared" si="9"/>
        <v>1</v>
      </c>
      <c r="D43" s="90">
        <f t="shared" si="9"/>
        <v>1</v>
      </c>
      <c r="E43" s="90">
        <f t="shared" ref="E43:O43" si="10">IF(E20=1,1,E20*0.9)</f>
        <v>1</v>
      </c>
      <c r="F43" s="90">
        <f t="shared" si="10"/>
        <v>1</v>
      </c>
      <c r="G43" s="90">
        <f t="shared" si="10"/>
        <v>1</v>
      </c>
      <c r="H43" s="90">
        <f t="shared" si="10"/>
        <v>1</v>
      </c>
      <c r="I43" s="90">
        <f t="shared" si="10"/>
        <v>1</v>
      </c>
      <c r="J43" s="90">
        <f t="shared" si="10"/>
        <v>1</v>
      </c>
      <c r="K43" s="90">
        <f t="shared" si="10"/>
        <v>1</v>
      </c>
      <c r="L43" s="90">
        <f t="shared" si="10"/>
        <v>1</v>
      </c>
      <c r="M43" s="90">
        <f t="shared" si="10"/>
        <v>1</v>
      </c>
      <c r="N43" s="90">
        <f t="shared" si="10"/>
        <v>1</v>
      </c>
      <c r="O43" s="90">
        <f t="shared" si="10"/>
        <v>1</v>
      </c>
    </row>
    <row r="44" spans="1:15" x14ac:dyDescent="0.25">
      <c r="B44" s="5" t="s">
        <v>182</v>
      </c>
      <c r="C44" s="90">
        <f t="shared" si="9"/>
        <v>1</v>
      </c>
      <c r="D44" s="90">
        <f t="shared" si="9"/>
        <v>1</v>
      </c>
      <c r="E44" s="90">
        <f>IF(ISBLANK('Nutritional status distribution'!E$14),0.7,(0.7*'Nutritional status distribution'!E$14/(1-0.7*'Nutritional status distribution'!E$14))
/ ('Nutritional status distribution'!E$14/(1-'Nutritional status distribution'!E$14)))</f>
        <v>0.49569545388413355</v>
      </c>
      <c r="F44" s="90">
        <f>IF(ISBLANK('Nutritional status distribution'!F$14),0.7,(0.7*'Nutritional status distribution'!F$14/(1-0.7*'Nutritional status distribution'!F$14))
/ ('Nutritional status distribution'!F$14/(1-'Nutritional status distribution'!F$14)))</f>
        <v>0.50262990231036475</v>
      </c>
      <c r="G44" s="90">
        <f>IF(ISBLANK('Nutritional status distribution'!G$14),0.7,(0.7*'Nutritional status distribution'!G$14/(1-0.7*'Nutritional status distribution'!G$14))
/ ('Nutritional status distribution'!G$14/(1-'Nutritional status distribution'!G$14)))</f>
        <v>0.50262990231036475</v>
      </c>
      <c r="H44" s="90">
        <f>IF(ISBLANK('Nutritional status distribution'!H$14),0.7,(0.7*'Nutritional status distribution'!H$14/(1-0.7*'Nutritional status distribution'!H$14))
/ ('Nutritional status distribution'!H$14/(1-'Nutritional status distribution'!H$14)))</f>
        <v>0.60593721266255096</v>
      </c>
      <c r="I44" s="90">
        <f>IF(ISBLANK('Nutritional status distribution'!I$14),0.7,(0.7*'Nutritional status distribution'!I$14/(1-0.7*'Nutritional status distribution'!I$14))
/ ('Nutritional status distribution'!I$14/(1-'Nutritional status distribution'!I$14)))</f>
        <v>0.60593721266255096</v>
      </c>
      <c r="J44" s="90">
        <f>IF(ISBLANK('Nutritional status distribution'!J$14),0.7,(0.7*'Nutritional status distribution'!J$14/(1-0.7*'Nutritional status distribution'!J$14))
/ ('Nutritional status distribution'!J$14/(1-'Nutritional status distribution'!J$14)))</f>
        <v>0.60593721266255096</v>
      </c>
      <c r="K44" s="90">
        <f>IF(ISBLANK('Nutritional status distribution'!K$14),0.7,(0.7*'Nutritional status distribution'!K$14/(1-0.7*'Nutritional status distribution'!K$14))
/ ('Nutritional status distribution'!K$14/(1-'Nutritional status distribution'!K$14)))</f>
        <v>0.60593721266255096</v>
      </c>
      <c r="L44" s="90">
        <f>IF(ISBLANK('Nutritional status distribution'!L$14),0.7,(0.7*'Nutritional status distribution'!L$14/(1-0.7*'Nutritional status distribution'!L$14))
/ ('Nutritional status distribution'!L$14/(1-'Nutritional status distribution'!L$14)))</f>
        <v>0.61890243902439024</v>
      </c>
      <c r="M44" s="90">
        <f>IF(ISBLANK('Nutritional status distribution'!M$14),0.7,(0.7*'Nutritional status distribution'!M$14/(1-0.7*'Nutritional status distribution'!M$14))
/ ('Nutritional status distribution'!M$14/(1-'Nutritional status distribution'!M$14)))</f>
        <v>0.61890243902439024</v>
      </c>
      <c r="N44" s="90">
        <f>IF(ISBLANK('Nutritional status distribution'!N$14),0.7,(0.7*'Nutritional status distribution'!N$14/(1-0.7*'Nutritional status distribution'!N$14))
/ ('Nutritional status distribution'!N$14/(1-'Nutritional status distribution'!N$14)))</f>
        <v>0.61890243902439024</v>
      </c>
      <c r="O44" s="90">
        <f>IF(ISBLANK('Nutritional status distribution'!O$14),0.7,(0.7*'Nutritional status distribution'!O$14/(1-0.7*'Nutritional status distribution'!O$14))
/ ('Nutritional status distribution'!O$14/(1-'Nutritional status distribution'!O$14)))</f>
        <v>0.61890243902439024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ht="13" customHeight="1" x14ac:dyDescent="0.3">
      <c r="A48" s="4" t="s">
        <v>326</v>
      </c>
    </row>
    <row r="49" spans="1:15" x14ac:dyDescent="0.25">
      <c r="B49" s="11" t="s">
        <v>170</v>
      </c>
      <c r="C49" s="90">
        <v>0.7</v>
      </c>
      <c r="D49" s="90">
        <v>0.7</v>
      </c>
      <c r="E49" s="90">
        <f t="shared" ref="E49:O49" si="11">IF(E3=1,1,E3*1.05)</f>
        <v>1</v>
      </c>
      <c r="F49" s="90">
        <f t="shared" si="11"/>
        <v>1</v>
      </c>
      <c r="G49" s="90">
        <f t="shared" si="11"/>
        <v>1</v>
      </c>
      <c r="H49" s="90">
        <f t="shared" si="11"/>
        <v>1</v>
      </c>
      <c r="I49" s="90">
        <f t="shared" si="11"/>
        <v>1</v>
      </c>
      <c r="J49" s="90">
        <f t="shared" si="11"/>
        <v>1</v>
      </c>
      <c r="K49" s="90">
        <f t="shared" si="11"/>
        <v>1</v>
      </c>
      <c r="L49" s="90">
        <f t="shared" si="11"/>
        <v>1</v>
      </c>
      <c r="M49" s="90">
        <f t="shared" si="11"/>
        <v>1</v>
      </c>
      <c r="N49" s="90">
        <f t="shared" si="11"/>
        <v>1</v>
      </c>
      <c r="O49" s="90">
        <f t="shared" si="11"/>
        <v>1</v>
      </c>
    </row>
    <row r="50" spans="1:15" x14ac:dyDescent="0.25">
      <c r="B50" s="11" t="s">
        <v>175</v>
      </c>
      <c r="C50" s="90">
        <f t="shared" ref="C50:G56" si="12">IF(C4=1,1,C4*1.05)</f>
        <v>1</v>
      </c>
      <c r="D50" s="90">
        <f t="shared" si="12"/>
        <v>1</v>
      </c>
      <c r="E50" s="90">
        <f t="shared" si="12"/>
        <v>1</v>
      </c>
      <c r="F50" s="90">
        <f t="shared" si="12"/>
        <v>1</v>
      </c>
      <c r="G50" s="90">
        <f t="shared" si="12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3">IF(L4=1,1,L4*1.05)</f>
        <v>1</v>
      </c>
      <c r="M50" s="90">
        <f t="shared" si="13"/>
        <v>1</v>
      </c>
      <c r="N50" s="90">
        <f t="shared" si="13"/>
        <v>1</v>
      </c>
      <c r="O50" s="90">
        <f t="shared" si="13"/>
        <v>1</v>
      </c>
    </row>
    <row r="51" spans="1:15" x14ac:dyDescent="0.25">
      <c r="B51" s="11" t="s">
        <v>176</v>
      </c>
      <c r="C51" s="90">
        <f t="shared" si="12"/>
        <v>1</v>
      </c>
      <c r="D51" s="90">
        <f t="shared" si="12"/>
        <v>1</v>
      </c>
      <c r="E51" s="90">
        <f t="shared" si="12"/>
        <v>1</v>
      </c>
      <c r="F51" s="90">
        <f t="shared" si="12"/>
        <v>1</v>
      </c>
      <c r="G51" s="90">
        <f t="shared" si="12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3"/>
        <v>1</v>
      </c>
      <c r="M51" s="90">
        <f t="shared" si="13"/>
        <v>1</v>
      </c>
      <c r="N51" s="90">
        <f t="shared" si="13"/>
        <v>1</v>
      </c>
      <c r="O51" s="90">
        <f t="shared" si="13"/>
        <v>1</v>
      </c>
    </row>
    <row r="52" spans="1:15" x14ac:dyDescent="0.25">
      <c r="B52" s="11" t="s">
        <v>177</v>
      </c>
      <c r="C52" s="90">
        <f t="shared" si="12"/>
        <v>1</v>
      </c>
      <c r="D52" s="90">
        <f t="shared" si="12"/>
        <v>1</v>
      </c>
      <c r="E52" s="90">
        <f t="shared" si="12"/>
        <v>1</v>
      </c>
      <c r="F52" s="90">
        <f t="shared" si="12"/>
        <v>1</v>
      </c>
      <c r="G52" s="90">
        <f t="shared" si="12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3"/>
        <v>1</v>
      </c>
      <c r="M52" s="90">
        <f t="shared" si="13"/>
        <v>1</v>
      </c>
      <c r="N52" s="90">
        <f t="shared" si="13"/>
        <v>1</v>
      </c>
      <c r="O52" s="90">
        <f t="shared" si="13"/>
        <v>1</v>
      </c>
    </row>
    <row r="53" spans="1:15" x14ac:dyDescent="0.25">
      <c r="B53" s="11" t="s">
        <v>178</v>
      </c>
      <c r="C53" s="90">
        <f t="shared" si="12"/>
        <v>1</v>
      </c>
      <c r="D53" s="90">
        <f t="shared" si="12"/>
        <v>1</v>
      </c>
      <c r="E53" s="90">
        <f t="shared" si="12"/>
        <v>1</v>
      </c>
      <c r="F53" s="90">
        <f t="shared" si="12"/>
        <v>1</v>
      </c>
      <c r="G53" s="90">
        <f t="shared" si="12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3"/>
        <v>1</v>
      </c>
      <c r="M53" s="90">
        <f t="shared" si="13"/>
        <v>1</v>
      </c>
      <c r="N53" s="90">
        <f t="shared" si="13"/>
        <v>1</v>
      </c>
      <c r="O53" s="90">
        <f t="shared" si="13"/>
        <v>1</v>
      </c>
    </row>
    <row r="54" spans="1:15" x14ac:dyDescent="0.25">
      <c r="B54" s="5" t="s">
        <v>179</v>
      </c>
      <c r="C54" s="90">
        <f t="shared" si="12"/>
        <v>1</v>
      </c>
      <c r="D54" s="90">
        <f t="shared" si="12"/>
        <v>1</v>
      </c>
      <c r="E54" s="90">
        <f t="shared" si="12"/>
        <v>1</v>
      </c>
      <c r="F54" s="90">
        <f t="shared" si="12"/>
        <v>1</v>
      </c>
      <c r="G54" s="90">
        <f t="shared" si="12"/>
        <v>1</v>
      </c>
      <c r="H54" s="90">
        <f t="shared" ref="H54:K57" si="14">IF(H8=1,1,H8*1.05)</f>
        <v>1</v>
      </c>
      <c r="I54" s="90">
        <f t="shared" si="14"/>
        <v>1</v>
      </c>
      <c r="J54" s="90">
        <f t="shared" si="14"/>
        <v>1</v>
      </c>
      <c r="K54" s="90">
        <f t="shared" si="14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180</v>
      </c>
      <c r="C55" s="90">
        <f t="shared" si="12"/>
        <v>1</v>
      </c>
      <c r="D55" s="90">
        <f t="shared" si="12"/>
        <v>1</v>
      </c>
      <c r="E55" s="90">
        <f t="shared" si="12"/>
        <v>1</v>
      </c>
      <c r="F55" s="90">
        <f t="shared" si="12"/>
        <v>1</v>
      </c>
      <c r="G55" s="90">
        <f t="shared" si="12"/>
        <v>1</v>
      </c>
      <c r="H55" s="90">
        <f t="shared" si="14"/>
        <v>1</v>
      </c>
      <c r="I55" s="90">
        <f t="shared" si="14"/>
        <v>1</v>
      </c>
      <c r="J55" s="90">
        <f t="shared" si="14"/>
        <v>1</v>
      </c>
      <c r="K55" s="90">
        <f t="shared" si="14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181</v>
      </c>
      <c r="C56" s="90">
        <f t="shared" si="12"/>
        <v>1</v>
      </c>
      <c r="D56" s="90">
        <f t="shared" si="12"/>
        <v>1</v>
      </c>
      <c r="E56" s="90">
        <f t="shared" si="12"/>
        <v>1</v>
      </c>
      <c r="F56" s="90">
        <f t="shared" si="12"/>
        <v>1</v>
      </c>
      <c r="G56" s="90">
        <f t="shared" si="12"/>
        <v>1</v>
      </c>
      <c r="H56" s="90">
        <f t="shared" si="14"/>
        <v>1</v>
      </c>
      <c r="I56" s="90">
        <f t="shared" si="14"/>
        <v>1</v>
      </c>
      <c r="J56" s="90">
        <f t="shared" si="14"/>
        <v>1</v>
      </c>
      <c r="K56" s="90">
        <f t="shared" si="14"/>
        <v>1</v>
      </c>
      <c r="L56" s="90">
        <v>0.93</v>
      </c>
      <c r="M56" s="90">
        <v>0.93</v>
      </c>
      <c r="N56" s="90">
        <v>0.93</v>
      </c>
      <c r="O56" s="90">
        <v>0.93</v>
      </c>
    </row>
    <row r="57" spans="1:15" x14ac:dyDescent="0.25">
      <c r="B57" s="5" t="s">
        <v>184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4"/>
        <v>1</v>
      </c>
      <c r="I57" s="90">
        <f t="shared" si="14"/>
        <v>1</v>
      </c>
      <c r="J57" s="90">
        <f t="shared" si="14"/>
        <v>1</v>
      </c>
      <c r="K57" s="90">
        <f t="shared" si="14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185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188</v>
      </c>
      <c r="C59" s="90">
        <f t="shared" ref="C59:D61" si="15">IF(C13=1,1,C13*1.05)</f>
        <v>1</v>
      </c>
      <c r="D59" s="90">
        <f t="shared" si="15"/>
        <v>1</v>
      </c>
      <c r="E59" s="90">
        <v>0.77</v>
      </c>
      <c r="F59" s="90">
        <v>0.77</v>
      </c>
      <c r="G59" s="90">
        <v>0.77</v>
      </c>
      <c r="H59" s="90">
        <f t="shared" ref="H59:O59" si="16">IF(H13=1,1,H13*1.05)</f>
        <v>1</v>
      </c>
      <c r="I59" s="90">
        <f t="shared" si="16"/>
        <v>1</v>
      </c>
      <c r="J59" s="90">
        <f t="shared" si="16"/>
        <v>1</v>
      </c>
      <c r="K59" s="90">
        <f t="shared" si="16"/>
        <v>1</v>
      </c>
      <c r="L59" s="90">
        <f t="shared" si="16"/>
        <v>1</v>
      </c>
      <c r="M59" s="90">
        <f t="shared" si="16"/>
        <v>1</v>
      </c>
      <c r="N59" s="90">
        <f t="shared" si="16"/>
        <v>1</v>
      </c>
      <c r="O59" s="90">
        <f t="shared" si="16"/>
        <v>1</v>
      </c>
    </row>
    <row r="60" spans="1:15" x14ac:dyDescent="0.25">
      <c r="B60" s="11" t="s">
        <v>189</v>
      </c>
      <c r="C60" s="90">
        <f t="shared" si="15"/>
        <v>1</v>
      </c>
      <c r="D60" s="90">
        <f t="shared" si="15"/>
        <v>1</v>
      </c>
      <c r="E60" s="90">
        <f t="shared" ref="E60:K60" si="17">IF(E14=1,1,E14*1.05)</f>
        <v>1</v>
      </c>
      <c r="F60" s="90">
        <f t="shared" si="17"/>
        <v>1</v>
      </c>
      <c r="G60" s="90">
        <f t="shared" si="17"/>
        <v>1</v>
      </c>
      <c r="H60" s="90">
        <f t="shared" si="17"/>
        <v>1</v>
      </c>
      <c r="I60" s="90">
        <f t="shared" si="17"/>
        <v>1</v>
      </c>
      <c r="J60" s="90">
        <f t="shared" si="17"/>
        <v>1</v>
      </c>
      <c r="K60" s="90">
        <f t="shared" si="17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192</v>
      </c>
      <c r="C61" s="90">
        <f t="shared" si="15"/>
        <v>1</v>
      </c>
      <c r="D61" s="90">
        <f t="shared" si="15"/>
        <v>1</v>
      </c>
      <c r="E61" s="90">
        <v>0.44</v>
      </c>
      <c r="F61" s="90">
        <v>0.44</v>
      </c>
      <c r="G61" s="90">
        <f t="shared" ref="G61:O61" si="18">IF(G15=1,1,G15*1.05)</f>
        <v>1</v>
      </c>
      <c r="H61" s="90">
        <f t="shared" si="18"/>
        <v>1</v>
      </c>
      <c r="I61" s="90">
        <f t="shared" si="18"/>
        <v>1</v>
      </c>
      <c r="J61" s="90">
        <f t="shared" si="18"/>
        <v>1</v>
      </c>
      <c r="K61" s="90">
        <f t="shared" si="18"/>
        <v>1</v>
      </c>
      <c r="L61" s="90">
        <f t="shared" si="18"/>
        <v>1</v>
      </c>
      <c r="M61" s="90">
        <f t="shared" si="18"/>
        <v>1</v>
      </c>
      <c r="N61" s="90">
        <f t="shared" si="18"/>
        <v>1</v>
      </c>
      <c r="O61" s="90">
        <f t="shared" si="18"/>
        <v>1</v>
      </c>
    </row>
    <row r="63" spans="1:15" ht="13" customHeight="1" x14ac:dyDescent="0.3">
      <c r="A63" s="4" t="s">
        <v>327</v>
      </c>
      <c r="B63" s="11"/>
    </row>
    <row r="64" spans="1:15" x14ac:dyDescent="0.25">
      <c r="B64" s="5" t="s">
        <v>172</v>
      </c>
      <c r="C64" s="90">
        <f t="shared" ref="C64:O64" si="19">IF(C18=1,1,C18*1.05)</f>
        <v>1</v>
      </c>
      <c r="D64" s="90">
        <f t="shared" si="19"/>
        <v>1</v>
      </c>
      <c r="E64" s="90">
        <f t="shared" si="19"/>
        <v>1</v>
      </c>
      <c r="F64" s="90">
        <f t="shared" si="19"/>
        <v>1</v>
      </c>
      <c r="G64" s="90">
        <f t="shared" si="19"/>
        <v>1</v>
      </c>
      <c r="H64" s="90">
        <f t="shared" si="19"/>
        <v>1</v>
      </c>
      <c r="I64" s="90">
        <f t="shared" si="19"/>
        <v>1</v>
      </c>
      <c r="J64" s="90">
        <f t="shared" si="19"/>
        <v>1</v>
      </c>
      <c r="K64" s="90">
        <f t="shared" si="19"/>
        <v>1</v>
      </c>
      <c r="L64" s="90">
        <f t="shared" si="19"/>
        <v>1</v>
      </c>
      <c r="M64" s="90">
        <f t="shared" si="19"/>
        <v>1</v>
      </c>
      <c r="N64" s="90">
        <f t="shared" si="19"/>
        <v>1</v>
      </c>
      <c r="O64" s="90">
        <f t="shared" si="19"/>
        <v>1</v>
      </c>
    </row>
    <row r="65" spans="2:15" x14ac:dyDescent="0.25">
      <c r="B65" s="5" t="s">
        <v>173</v>
      </c>
      <c r="C65" s="90">
        <f t="shared" ref="C65:D67" si="20">IF(C19=1,1,C19*1.05)</f>
        <v>1</v>
      </c>
      <c r="D65" s="90">
        <f t="shared" si="20"/>
        <v>1</v>
      </c>
      <c r="E65" s="90">
        <f>IF(ISBLANK('Nutritional status distribution'!E$14),0.97,(0.97*'Nutritional status distribution'!E$14/(1-0.97*'Nutritional status distribution'!E$14))
/ ('Nutritional status distribution'!E$14/(1-'Nutritional status distribution'!E$14)))</f>
        <v>0.93160328197629449</v>
      </c>
      <c r="F65" s="90">
        <f>IF(ISBLANK('Nutritional status distribution'!F$14),0.97,(0.97*'Nutritional status distribution'!F$14/(1-0.97*'Nutritional status distribution'!F$14))
/ ('Nutritional status distribution'!F$14/(1-'Nutritional status distribution'!F$14)))</f>
        <v>0.9333497087331073</v>
      </c>
      <c r="G65" s="90">
        <f>IF(ISBLANK('Nutritional status distribution'!G$14),0.97,(0.97*'Nutritional status distribution'!G$14/(1-0.97*'Nutritional status distribution'!G$14))
/ ('Nutritional status distribution'!G$14/(1-'Nutritional status distribution'!G$14)))</f>
        <v>0.9333497087331073</v>
      </c>
      <c r="H65" s="90">
        <f>IF(ISBLANK('Nutritional status distribution'!H$14),0.97,(0.97*'Nutritional status distribution'!H$14/(1-0.97*'Nutritional status distribution'!H$14))
/ ('Nutritional status distribution'!H$14/(1-'Nutritional status distribution'!H$14)))</f>
        <v>0.95517236226708313</v>
      </c>
      <c r="I65" s="90">
        <f>IF(ISBLANK('Nutritional status distribution'!I$14),0.97,(0.97*'Nutritional status distribution'!I$14/(1-0.97*'Nutritional status distribution'!I$14))
/ ('Nutritional status distribution'!I$14/(1-'Nutritional status distribution'!I$14)))</f>
        <v>0.95517236226708313</v>
      </c>
      <c r="J65" s="90">
        <f>IF(ISBLANK('Nutritional status distribution'!J$14),0.97,(0.97*'Nutritional status distribution'!J$14/(1-0.97*'Nutritional status distribution'!J$14))
/ ('Nutritional status distribution'!J$14/(1-'Nutritional status distribution'!J$14)))</f>
        <v>0.95517236226708313</v>
      </c>
      <c r="K65" s="90">
        <f>IF(ISBLANK('Nutritional status distribution'!K$14),0.97,(0.97*'Nutritional status distribution'!K$14/(1-0.97*'Nutritional status distribution'!K$14))
/ ('Nutritional status distribution'!K$14/(1-'Nutritional status distribution'!K$14)))</f>
        <v>0.95517236226708313</v>
      </c>
      <c r="L65" s="90">
        <f>IF(ISBLANK('Nutritional status distribution'!L$14),0.97,(0.97*'Nutritional status distribution'!L$14/(1-0.97*'Nutritional status distribution'!L$14))
/ ('Nutritional status distribution'!L$14/(1-'Nutritional status distribution'!L$14)))</f>
        <v>0.95745405037440423</v>
      </c>
      <c r="M65" s="90">
        <f>IF(ISBLANK('Nutritional status distribution'!M$14),0.97,(0.97*'Nutritional status distribution'!M$14/(1-0.97*'Nutritional status distribution'!M$14))
/ ('Nutritional status distribution'!M$14/(1-'Nutritional status distribution'!M$14)))</f>
        <v>0.95745405037440423</v>
      </c>
      <c r="N65" s="90">
        <f>IF(ISBLANK('Nutritional status distribution'!N$14),0.97,(0.97*'Nutritional status distribution'!N$14/(1-0.97*'Nutritional status distribution'!N$14))
/ ('Nutritional status distribution'!N$14/(1-'Nutritional status distribution'!N$14)))</f>
        <v>0.95745405037440423</v>
      </c>
      <c r="O65" s="90">
        <f>IF(ISBLANK('Nutritional status distribution'!O$14),0.97,(0.97*'Nutritional status distribution'!O$14/(1-0.97*'Nutritional status distribution'!O$14))
/ ('Nutritional status distribution'!O$14/(1-'Nutritional status distribution'!O$14)))</f>
        <v>0.95745405037440423</v>
      </c>
    </row>
    <row r="66" spans="2:15" x14ac:dyDescent="0.25">
      <c r="B66" s="5" t="s">
        <v>174</v>
      </c>
      <c r="C66" s="90">
        <f t="shared" si="20"/>
        <v>1</v>
      </c>
      <c r="D66" s="90">
        <f t="shared" si="20"/>
        <v>1</v>
      </c>
      <c r="E66" s="90">
        <f t="shared" ref="E66:O66" si="21">IF(E20=1,1,E20*1.05)</f>
        <v>1</v>
      </c>
      <c r="F66" s="90">
        <f t="shared" si="21"/>
        <v>1</v>
      </c>
      <c r="G66" s="90">
        <f t="shared" si="21"/>
        <v>1</v>
      </c>
      <c r="H66" s="90">
        <f t="shared" si="21"/>
        <v>1</v>
      </c>
      <c r="I66" s="90">
        <f t="shared" si="21"/>
        <v>1</v>
      </c>
      <c r="J66" s="90">
        <f t="shared" si="21"/>
        <v>1</v>
      </c>
      <c r="K66" s="90">
        <f t="shared" si="21"/>
        <v>1</v>
      </c>
      <c r="L66" s="90">
        <f t="shared" si="21"/>
        <v>1</v>
      </c>
      <c r="M66" s="90">
        <f t="shared" si="21"/>
        <v>1</v>
      </c>
      <c r="N66" s="90">
        <f t="shared" si="21"/>
        <v>1</v>
      </c>
      <c r="O66" s="90">
        <f t="shared" si="21"/>
        <v>1</v>
      </c>
    </row>
    <row r="67" spans="2:15" x14ac:dyDescent="0.25">
      <c r="B67" s="5" t="s">
        <v>182</v>
      </c>
      <c r="C67" s="90">
        <f t="shared" si="20"/>
        <v>1</v>
      </c>
      <c r="D67" s="90">
        <f t="shared" si="20"/>
        <v>1</v>
      </c>
      <c r="E67" s="90">
        <f>IF(ISBLANK('Nutritional status distribution'!E$14),0.92,(0.92*'Nutritional status distribution'!E$14/(1-0.92*'Nutritional status distribution'!E$14))
/ ('Nutritional status distribution'!E$14/(1-'Nutritional status distribution'!E$14)))</f>
        <v>0.82889705362894106</v>
      </c>
      <c r="F67" s="90">
        <f>IF(ISBLANK('Nutritional status distribution'!F$14),0.92,(0.92*'Nutritional status distribution'!F$14/(1-0.92*'Nutritional status distribution'!F$14))
/ ('Nutritional status distribution'!F$14/(1-'Nutritional status distribution'!F$14)))</f>
        <v>0.83279527463829905</v>
      </c>
      <c r="G67" s="90">
        <f>IF(ISBLANK('Nutritional status distribution'!G$14),0.92,(0.92*'Nutritional status distribution'!G$14/(1-0.92*'Nutritional status distribution'!G$14))
/ ('Nutritional status distribution'!G$14/(1-'Nutritional status distribution'!G$14)))</f>
        <v>0.83279527463829905</v>
      </c>
      <c r="H67" s="90">
        <f>IF(ISBLANK('Nutritional status distribution'!H$14),0.92,(0.92*'Nutritional status distribution'!H$14/(1-0.92*'Nutritional status distribution'!H$14))
/ ('Nutritional status distribution'!H$14/(1-'Nutritional status distribution'!H$14)))</f>
        <v>0.88342950399253972</v>
      </c>
      <c r="I67" s="90">
        <f>IF(ISBLANK('Nutritional status distribution'!I$14),0.92,(0.92*'Nutritional status distribution'!I$14/(1-0.92*'Nutritional status distribution'!I$14))
/ ('Nutritional status distribution'!I$14/(1-'Nutritional status distribution'!I$14)))</f>
        <v>0.88342950399253972</v>
      </c>
      <c r="J67" s="90">
        <f>IF(ISBLANK('Nutritional status distribution'!J$14),0.92,(0.92*'Nutritional status distribution'!J$14/(1-0.92*'Nutritional status distribution'!J$14))
/ ('Nutritional status distribution'!J$14/(1-'Nutritional status distribution'!J$14)))</f>
        <v>0.88342950399253972</v>
      </c>
      <c r="K67" s="90">
        <f>IF(ISBLANK('Nutritional status distribution'!K$14),0.92,(0.92*'Nutritional status distribution'!K$14/(1-0.92*'Nutritional status distribution'!K$14))
/ ('Nutritional status distribution'!K$14/(1-'Nutritional status distribution'!K$14)))</f>
        <v>0.88342950399253972</v>
      </c>
      <c r="L67" s="90">
        <f>IF(ISBLANK('Nutritional status distribution'!L$14),0.92,(0.92*'Nutritional status distribution'!L$14/(1-0.92*'Nutritional status distribution'!L$14))
/ ('Nutritional status distribution'!L$14/(1-'Nutritional status distribution'!L$14)))</f>
        <v>0.88893824966681456</v>
      </c>
      <c r="M67" s="90">
        <f>IF(ISBLANK('Nutritional status distribution'!M$14),0.92,(0.92*'Nutritional status distribution'!M$14/(1-0.92*'Nutritional status distribution'!M$14))
/ ('Nutritional status distribution'!M$14/(1-'Nutritional status distribution'!M$14)))</f>
        <v>0.88893824966681456</v>
      </c>
      <c r="N67" s="90">
        <f>IF(ISBLANK('Nutritional status distribution'!N$14),0.92,(0.92*'Nutritional status distribution'!N$14/(1-0.92*'Nutritional status distribution'!N$14))
/ ('Nutritional status distribution'!N$14/(1-'Nutritional status distribution'!N$14)))</f>
        <v>0.88893824966681456</v>
      </c>
      <c r="O67" s="90">
        <f>IF(ISBLANK('Nutritional status distribution'!O$14),0.92,(0.92*'Nutritional status distribution'!O$14/(1-0.92*'Nutritional status distribution'!O$14))
/ ('Nutritional status distribution'!O$14/(1-'Nutritional status distribution'!O$14)))</f>
        <v>0.88893824966681456</v>
      </c>
    </row>
  </sheetData>
  <sheetProtection algorithmName="SHA-512" hashValue="QTNrTNcX0LQnvnw9OcFIuF8iiKsb7nBsadUCrO1kCxqB4CvEkER3v8YCwNBmR8txM/1IAuOQ/zC/vA8HLWjOhA==" saltValue="f5+QlQPEjGE24L/HhPaCM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E28" sqref="E28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ht="13" customHeight="1" x14ac:dyDescent="0.3">
      <c r="A2" s="4" t="s">
        <v>328</v>
      </c>
    </row>
    <row r="3" spans="1:7" ht="13.25" customHeight="1" x14ac:dyDescent="0.25">
      <c r="B3" s="11" t="s">
        <v>157</v>
      </c>
      <c r="C3" s="90">
        <v>1</v>
      </c>
      <c r="D3" s="90">
        <f>IF(ISBLANK('Nutritional status distribution'!D$11),(1/1.33),((1/1.33)*'Nutritional status distribution'!D$11/(1-(1/1.33)*'Nutritional status distribution'!D$11))
/ ('Nutritional status distribution'!D$11/(1-'Nutritional status distribution'!D$11)))</f>
        <v>0.74387250806446559</v>
      </c>
      <c r="E3" s="90">
        <f>IF(ISBLANK('Nutritional status distribution'!E$11),(1/1.33),((1/1.33)*'Nutritional status distribution'!E$11/(1-(1/1.33)*'Nutritional status distribution'!E$11))
/ ('Nutritional status distribution'!E$11/(1-'Nutritional status distribution'!E$11)))</f>
        <v>0.7402150197345102</v>
      </c>
      <c r="F3" s="90">
        <f>IF(ISBLANK('Nutritional status distribution'!F$11),(1/1.33),((1/1.33)*'Nutritional status distribution'!F$11/(1-(1/1.33)*'Nutritional status distribution'!F$11))
/ ('Nutritional status distribution'!F$11/(1-'Nutritional status distribution'!F$11)))</f>
        <v>0.7404062835471924</v>
      </c>
      <c r="G3" s="90">
        <f>IF(ISBLANK('Nutritional status distribution'!G$11),(1/1.33),((1/1.33)*'Nutritional status distribution'!G$11/(1-(1/1.33)*'Nutritional status distribution'!G$11))
/ ('Nutritional status distribution'!G$11/(1-'Nutritional status distribution'!G$11)))</f>
        <v>0.74469336175982193</v>
      </c>
    </row>
    <row r="4" spans="1:7" ht="13" customHeight="1" x14ac:dyDescent="0.3">
      <c r="A4" s="4" t="s">
        <v>329</v>
      </c>
      <c r="B4" s="11"/>
      <c r="C4" s="83"/>
      <c r="D4" s="83"/>
      <c r="E4" s="83"/>
      <c r="F4" s="83"/>
      <c r="G4" s="83"/>
    </row>
    <row r="5" spans="1:7" ht="13.25" customHeight="1" x14ac:dyDescent="0.25">
      <c r="B5" s="5" t="s">
        <v>158</v>
      </c>
      <c r="C5" s="90">
        <v>1</v>
      </c>
      <c r="D5" s="90">
        <f>IF(ISBLANK('Nutritional status distribution'!D$10),(1/1.33),((1/1.33)*'Nutritional status distribution'!D$10/(1-(1/1.33)*'Nutritional status distribution'!D$10))
/ ('Nutritional status distribution'!D$10/(1-'Nutritional status distribution'!D$10)))</f>
        <v>0.73614249920785479</v>
      </c>
      <c r="E5" s="90">
        <f>IF(ISBLANK('Nutritional status distribution'!E$10),(1/1.33),((1/1.33)*'Nutritional status distribution'!E$10/(1-(1/1.33)*'Nutritional status distribution'!E$10))
/ ('Nutritional status distribution'!E$10/(1-'Nutritional status distribution'!E$10)))</f>
        <v>0.72684020771289837</v>
      </c>
      <c r="F5" s="90">
        <f>IF(ISBLANK('Nutritional status distribution'!F$10),(1/1.33),((1/1.33)*'Nutritional status distribution'!F$10/(1-(1/1.33)*'Nutritional status distribution'!F$10))
/ ('Nutritional status distribution'!F$10/(1-'Nutritional status distribution'!F$10)))</f>
        <v>0.71933271010367494</v>
      </c>
      <c r="G5" s="90">
        <f>IF(ISBLANK('Nutritional status distribution'!G$10),(1/1.33),((1/1.33)*'Nutritional status distribution'!G$10/(1-(1/1.33)*'Nutritional status distribution'!G$10))
/ ('Nutritional status distribution'!G$10/(1-'Nutritional status distribution'!G$10)))</f>
        <v>0.72919404032274393</v>
      </c>
    </row>
    <row r="7" spans="1:7" s="92" customFormat="1" ht="13" customHeight="1" x14ac:dyDescent="0.3">
      <c r="A7" s="92" t="s">
        <v>330</v>
      </c>
    </row>
    <row r="8" spans="1:7" ht="13" customHeight="1" x14ac:dyDescent="0.3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ht="13" customHeight="1" x14ac:dyDescent="0.3">
      <c r="A9" s="4" t="s">
        <v>331</v>
      </c>
    </row>
    <row r="10" spans="1:7" ht="13.25" customHeight="1" x14ac:dyDescent="0.25">
      <c r="B10" s="11" t="s">
        <v>157</v>
      </c>
      <c r="C10" s="90">
        <v>1</v>
      </c>
      <c r="D10" s="90">
        <f>IF(ISBLANK('Nutritional status distribution'!D$11),(1/1.54),((1/1.54)*'Nutritional status distribution'!D$11/(1-(1/1.54)*'Nutritional status distribution'!D$11))
/ ('Nutritional status distribution'!D$11/(1-'Nutritional status distribution'!D$11)))</f>
        <v>0.63962060377014129</v>
      </c>
      <c r="E10" s="90">
        <f>IF(ISBLANK('Nutritional status distribution'!E$11),(1/1.54),((1/1.54)*'Nutritional status distribution'!E$11/(1-(1/1.54)*'Nutritional status distribution'!E$11))
/ ('Nutritional status distribution'!E$11/(1-'Nutritional status distribution'!E$11)))</f>
        <v>0.63520446860787927</v>
      </c>
      <c r="F10" s="90">
        <f>IF(ISBLANK('Nutritional status distribution'!F$11),(1/1.54),((1/1.54)*'Nutritional status distribution'!F$11/(1-(1/1.54)*'Nutritional status distribution'!F$11))
/ ('Nutritional status distribution'!F$11/(1-'Nutritional status distribution'!F$11)))</f>
        <v>0.63543496774009689</v>
      </c>
      <c r="G10" s="90">
        <f>IF(ISBLANK('Nutritional status distribution'!G$11),(1/1.54),((1/1.54)*'Nutritional status distribution'!G$11/(1-(1/1.54)*'Nutritional status distribution'!G$11))
/ ('Nutritional status distribution'!G$11/(1-'Nutritional status distribution'!G$11)))</f>
        <v>0.64061415109789299</v>
      </c>
    </row>
    <row r="11" spans="1:7" ht="13" customHeight="1" x14ac:dyDescent="0.3">
      <c r="A11" s="4" t="s">
        <v>332</v>
      </c>
      <c r="B11" s="11"/>
      <c r="C11" s="83"/>
      <c r="D11" s="83"/>
      <c r="E11" s="83"/>
      <c r="F11" s="83"/>
      <c r="G11" s="83"/>
    </row>
    <row r="12" spans="1:7" ht="13.25" customHeight="1" x14ac:dyDescent="0.25">
      <c r="B12" s="5" t="s">
        <v>158</v>
      </c>
      <c r="C12" s="90">
        <v>1</v>
      </c>
      <c r="D12" s="90">
        <f>IF(ISBLANK('Nutritional status distribution'!D$10),(1/1.54),((1/1.54)*'Nutritional status distribution'!D$10/(1-(1/1.54)*'Nutritional status distribution'!D$10))
/ ('Nutritional status distribution'!D$10/(1-'Nutritional status distribution'!D$10)))</f>
        <v>0.63030792496470167</v>
      </c>
      <c r="E12" s="90">
        <f>IF(ISBLANK('Nutritional status distribution'!E$10),(1/1.54),((1/1.54)*'Nutritional status distribution'!E$10/(1-(1/1.54)*'Nutritional status distribution'!E$10))
/ ('Nutritional status distribution'!E$10/(1-'Nutritional status distribution'!E$10)))</f>
        <v>0.61920452916788682</v>
      </c>
      <c r="F12" s="90">
        <f>IF(ISBLANK('Nutritional status distribution'!F$10),(1/1.54),((1/1.54)*'Nutritional status distribution'!F$10/(1-(1/1.54)*'Nutritional status distribution'!F$10))
/ ('Nutritional status distribution'!F$10/(1-'Nutritional status distribution'!F$10)))</f>
        <v>0.61032476591759321</v>
      </c>
      <c r="G12" s="90">
        <f>IF(ISBLANK('Nutritional status distribution'!G$10),(1/1.54),((1/1.54)*'Nutritional status distribution'!G$10/(1-(1/1.54)*'Nutritional status distribution'!G$10))
/ ('Nutritional status distribution'!G$10/(1-'Nutritional status distribution'!G$10)))</f>
        <v>0.62200351243593799</v>
      </c>
    </row>
    <row r="14" spans="1:7" s="92" customFormat="1" ht="13" customHeight="1" x14ac:dyDescent="0.3">
      <c r="A14" s="92" t="s">
        <v>333</v>
      </c>
    </row>
    <row r="15" spans="1:7" ht="13" customHeight="1" x14ac:dyDescent="0.3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ht="13" customHeight="1" x14ac:dyDescent="0.3">
      <c r="A16" s="4" t="s">
        <v>334</v>
      </c>
    </row>
    <row r="17" spans="1:7" ht="13.25" customHeight="1" x14ac:dyDescent="0.25">
      <c r="B17" s="11" t="s">
        <v>157</v>
      </c>
      <c r="C17" s="90">
        <v>1</v>
      </c>
      <c r="D17" s="90">
        <f>IF(ISBLANK('Nutritional status distribution'!D$11),(1/1.16),((1/1.16)*'Nutritional status distribution'!D$11/(1-(1/1.16)*'Nutritional status distribution'!D$11))
/ ('Nutritional status distribution'!D$11/(1-'Nutritional status distribution'!D$11)))</f>
        <v>0.85694115011823213</v>
      </c>
      <c r="E17" s="90">
        <f>IF(ISBLANK('Nutritional status distribution'!E$11),(1/1.16),((1/1.16)*'Nutritional status distribution'!E$11/(1-(1/1.16)*'Nutritional status distribution'!E$11))
/ ('Nutritional status distribution'!E$11/(1-'Nutritional status distribution'!E$11)))</f>
        <v>0.85458264048239274</v>
      </c>
      <c r="F17" s="90">
        <f>IF(ISBLANK('Nutritional status distribution'!F$11),(1/1.16),((1/1.16)*'Nutritional status distribution'!F$11/(1-(1/1.16)*'Nutritional status distribution'!F$11))
/ ('Nutritional status distribution'!F$11/(1-'Nutritional status distribution'!F$11)))</f>
        <v>0.85470623004601787</v>
      </c>
      <c r="G17" s="90">
        <f>IF(ISBLANK('Nutritional status distribution'!G$11),(1/1.16),((1/1.16)*'Nutritional status distribution'!G$11/(1-(1/1.16)*'Nutritional status distribution'!G$11))
/ ('Nutritional status distribution'!G$11/(1-'Nutritional status distribution'!G$11)))</f>
        <v>0.85746906665862388</v>
      </c>
    </row>
    <row r="18" spans="1:7" ht="13" customHeight="1" x14ac:dyDescent="0.3">
      <c r="A18" s="4" t="s">
        <v>335</v>
      </c>
      <c r="B18" s="11"/>
      <c r="C18" s="83"/>
      <c r="D18" s="83"/>
      <c r="E18" s="83"/>
      <c r="F18" s="83"/>
      <c r="G18" s="83"/>
    </row>
    <row r="19" spans="1:7" ht="13.25" customHeight="1" x14ac:dyDescent="0.25">
      <c r="B19" s="5" t="s">
        <v>158</v>
      </c>
      <c r="C19" s="90">
        <v>1</v>
      </c>
      <c r="D19" s="90">
        <f>IF(ISBLANK('Nutritional status distribution'!D$10),(1/1.16),((1/1.16)*'Nutritional status distribution'!D$10/(1-(1/1.16)*'Nutritional status distribution'!D$10))
/ ('Nutritional status distribution'!D$10/(1-'Nutritional status distribution'!D$10)))</f>
        <v>0.85194439709700931</v>
      </c>
      <c r="E19" s="90">
        <f>IF(ISBLANK('Nutritional status distribution'!E$10),(1/1.16),((1/1.16)*'Nutritional status distribution'!E$10/(1-(1/1.16)*'Nutritional status distribution'!E$10))
/ ('Nutritional status distribution'!E$10/(1-'Nutritional status distribution'!E$10)))</f>
        <v>0.84586990492610903</v>
      </c>
      <c r="F19" s="90">
        <f>IF(ISBLANK('Nutritional status distribution'!F$10),(1/1.16),((1/1.16)*'Nutritional status distribution'!F$10/(1-(1/1.16)*'Nutritional status distribution'!F$10))
/ ('Nutritional status distribution'!F$10/(1-'Nutritional status distribution'!F$10)))</f>
        <v>0.8409178025717885</v>
      </c>
      <c r="G19" s="90">
        <f>IF(ISBLANK('Nutritional status distribution'!G$10),(1/1.16),((1/1.16)*'Nutritional status distribution'!G$10/(1-(1/1.16)*'Nutritional status distribution'!G$10))
/ ('Nutritional status distribution'!G$10/(1-'Nutritional status distribution'!G$10)))</f>
        <v>0.84741337584779541</v>
      </c>
    </row>
  </sheetData>
  <sheetProtection algorithmName="SHA-512" hashValue="ZIjv20oIFeX8hEAP3JXu7+FjYQdIWvRgXIH4IkxRsMm14MAW5JMg2x9QOPJ7rc+IAMFEDvKO0XCydnz4Atw3VA==" saltValue="eIHIWivrA2mRyU/FI0KAAQ==" spinCount="100000" sheet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80" zoomScaleNormal="80" workbookViewId="0">
      <selection activeCell="E28" sqref="E28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ht="13.25" customHeight="1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ht="13.25" customHeight="1" x14ac:dyDescent="0.25">
      <c r="C3" s="5" t="s">
        <v>339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ht="13.25" customHeight="1" x14ac:dyDescent="0.25">
      <c r="C4" s="5" t="s">
        <v>340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ht="13.25" customHeight="1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ht="13.25" customHeight="1" x14ac:dyDescent="0.25">
      <c r="C6" s="5" t="s">
        <v>340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ht="13.25" customHeight="1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ht="13.25" customHeight="1" x14ac:dyDescent="0.25">
      <c r="C8" s="5" t="s">
        <v>340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ht="13.25" customHeight="1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ht="13.25" customHeight="1" x14ac:dyDescent="0.25">
      <c r="C10" s="5" t="s">
        <v>340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ht="13.25" customHeight="1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ht="13.25" customHeight="1" x14ac:dyDescent="0.25">
      <c r="C12" s="5" t="s">
        <v>340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ht="13.25" customHeight="1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ht="13.25" customHeight="1" x14ac:dyDescent="0.25">
      <c r="C14" s="5" t="s">
        <v>340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ht="13.25" customHeight="1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ht="13.25" customHeight="1" x14ac:dyDescent="0.25">
      <c r="C16" s="5" t="s">
        <v>340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ht="13.25" customHeight="1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ht="13.25" customHeight="1" x14ac:dyDescent="0.25">
      <c r="C18" s="5" t="s">
        <v>340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ht="13.25" customHeight="1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ht="13.25" customHeight="1" x14ac:dyDescent="0.25">
      <c r="C20" s="5" t="s">
        <v>340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ht="13.25" customHeight="1" x14ac:dyDescent="0.25">
      <c r="A21" s="5" t="s">
        <v>174</v>
      </c>
      <c r="B21" s="5" t="s">
        <v>74</v>
      </c>
      <c r="C21" s="5" t="s">
        <v>338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ht="13.25" customHeight="1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ht="13.25" customHeight="1" x14ac:dyDescent="0.25">
      <c r="A23" s="5" t="s">
        <v>172</v>
      </c>
      <c r="B23" s="5" t="s">
        <v>74</v>
      </c>
      <c r="C23" s="5" t="s">
        <v>338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ht="13.25" customHeight="1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ht="13.25" customHeight="1" x14ac:dyDescent="0.25">
      <c r="A25" s="5" t="s">
        <v>173</v>
      </c>
      <c r="B25" s="5" t="s">
        <v>74</v>
      </c>
      <c r="C25" s="5" t="s">
        <v>338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ht="13.25" customHeight="1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ht="13.25" customHeight="1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ht="13.25" customHeight="1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ht="13.25" customHeight="1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ht="13.25" customHeight="1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ht="13.25" customHeight="1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ht="13.25" customHeight="1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ht="13.25" customHeight="1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ht="13.25" customHeight="1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ht="13.25" customHeight="1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ht="13.25" customHeight="1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ht="13.25" customHeight="1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ht="13.25" customHeight="1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ht="13.25" customHeight="1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ht="13.25" customHeight="1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ht="13.25" customHeight="1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ht="13.25" customHeight="1" x14ac:dyDescent="0.25">
      <c r="A42" s="5" t="s">
        <v>200</v>
      </c>
      <c r="B42" s="5" t="s">
        <v>81</v>
      </c>
      <c r="C42" s="5" t="s">
        <v>338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ht="13.25" customHeight="1" x14ac:dyDescent="0.25">
      <c r="C43" s="5" t="s">
        <v>339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ht="13.25" customHeight="1" x14ac:dyDescent="0.25">
      <c r="C44" s="5" t="s">
        <v>340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ht="13.25" customHeight="1" x14ac:dyDescent="0.25">
      <c r="B45" s="5" t="s">
        <v>82</v>
      </c>
      <c r="C45" s="5" t="s">
        <v>338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ht="13.25" customHeight="1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ht="13.25" customHeight="1" x14ac:dyDescent="0.25">
      <c r="C47" s="5" t="s">
        <v>340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ht="13.25" customHeight="1" x14ac:dyDescent="0.25">
      <c r="A48" s="5" t="s">
        <v>190</v>
      </c>
      <c r="B48" s="5" t="s">
        <v>81</v>
      </c>
      <c r="C48" s="5" t="s">
        <v>338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ht="13.25" customHeight="1" x14ac:dyDescent="0.25">
      <c r="C49" s="5" t="s">
        <v>339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ht="13.25" customHeight="1" x14ac:dyDescent="0.25">
      <c r="A50" s="5" t="s">
        <v>199</v>
      </c>
      <c r="B50" s="5" t="s">
        <v>81</v>
      </c>
      <c r="C50" s="5" t="s">
        <v>338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ht="13.25" customHeight="1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ht="13.25" customHeight="1" x14ac:dyDescent="0.25">
      <c r="A52" s="5" t="s">
        <v>183</v>
      </c>
      <c r="B52" s="5" t="s">
        <v>72</v>
      </c>
      <c r="C52" s="5" t="s">
        <v>338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ht="13.25" customHeight="1" x14ac:dyDescent="0.25">
      <c r="C53" s="5" t="s">
        <v>339</v>
      </c>
      <c r="D53" s="90">
        <v>0.51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330</v>
      </c>
      <c r="B55" s="97"/>
      <c r="C55" s="97"/>
    </row>
    <row r="56" spans="1:8" ht="13" customHeight="1" x14ac:dyDescent="0.3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ht="13.25" customHeight="1" x14ac:dyDescent="0.25">
      <c r="A57" s="5" t="s">
        <v>193</v>
      </c>
      <c r="B57" s="5" t="s">
        <v>81</v>
      </c>
      <c r="C57" s="5" t="s">
        <v>338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ht="13.25" customHeight="1" x14ac:dyDescent="0.25">
      <c r="C58" s="5" t="s">
        <v>339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ht="13.25" customHeight="1" x14ac:dyDescent="0.25">
      <c r="C59" s="5" t="s">
        <v>340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ht="13.25" customHeight="1" x14ac:dyDescent="0.25">
      <c r="A60" s="5" t="s">
        <v>191</v>
      </c>
      <c r="B60" s="5" t="s">
        <v>205</v>
      </c>
      <c r="C60" s="5" t="s">
        <v>338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ht="13.25" customHeight="1" x14ac:dyDescent="0.25">
      <c r="C61" s="5" t="s">
        <v>340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ht="13.25" customHeight="1" x14ac:dyDescent="0.25">
      <c r="B62" s="5" t="s">
        <v>204</v>
      </c>
      <c r="C62" s="5" t="s">
        <v>338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ht="13.25" customHeight="1" x14ac:dyDescent="0.25">
      <c r="C63" s="5" t="s">
        <v>340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ht="13.25" customHeight="1" x14ac:dyDescent="0.25">
      <c r="A64" s="5" t="s">
        <v>184</v>
      </c>
      <c r="B64" s="5" t="s">
        <v>205</v>
      </c>
      <c r="C64" s="5" t="s">
        <v>338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ht="13.25" customHeight="1" x14ac:dyDescent="0.25">
      <c r="C65" s="5" t="s">
        <v>340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ht="13.25" customHeight="1" x14ac:dyDescent="0.25">
      <c r="B66" s="5" t="s">
        <v>204</v>
      </c>
      <c r="C66" s="5" t="s">
        <v>338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ht="13.25" customHeight="1" x14ac:dyDescent="0.25">
      <c r="C67" s="5" t="s">
        <v>340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ht="13.25" customHeight="1" x14ac:dyDescent="0.25">
      <c r="A68" s="5" t="s">
        <v>192</v>
      </c>
      <c r="B68" s="5" t="s">
        <v>205</v>
      </c>
      <c r="C68" s="5" t="s">
        <v>338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ht="13.25" customHeight="1" x14ac:dyDescent="0.25">
      <c r="C69" s="5" t="s">
        <v>340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ht="13.25" customHeight="1" x14ac:dyDescent="0.25">
      <c r="B70" s="5" t="s">
        <v>204</v>
      </c>
      <c r="C70" s="5" t="s">
        <v>338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ht="13.25" customHeight="1" x14ac:dyDescent="0.25">
      <c r="C71" s="5" t="s">
        <v>340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ht="13.25" customHeight="1" x14ac:dyDescent="0.25">
      <c r="A72" s="5" t="s">
        <v>169</v>
      </c>
      <c r="B72" s="5" t="s">
        <v>205</v>
      </c>
      <c r="C72" s="5" t="s">
        <v>338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ht="13.25" customHeight="1" x14ac:dyDescent="0.25">
      <c r="C73" s="5" t="s">
        <v>340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204</v>
      </c>
      <c r="C74" s="5" t="s">
        <v>338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340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339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339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339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340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339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340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339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340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339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340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339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340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339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340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82</v>
      </c>
      <c r="C100" s="5" t="s">
        <v>338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339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340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339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339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339</v>
      </c>
      <c r="D108" s="90">
        <v>0.18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333</v>
      </c>
      <c r="B110" s="97"/>
      <c r="C110" s="97"/>
    </row>
    <row r="111" spans="1:8" ht="13" customHeight="1" x14ac:dyDescent="0.3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339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340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340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204</v>
      </c>
      <c r="C117" s="5" t="s">
        <v>338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340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340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204</v>
      </c>
      <c r="C121" s="5" t="s">
        <v>338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340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340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204</v>
      </c>
      <c r="C125" s="5" t="s">
        <v>338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340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340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204</v>
      </c>
      <c r="C129" s="5" t="s">
        <v>338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340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339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339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339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339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340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339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340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339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340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339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340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339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340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339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340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82</v>
      </c>
      <c r="C155" s="5" t="s">
        <v>338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339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340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339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339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339</v>
      </c>
      <c r="D163" s="90">
        <v>0.71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gIF3gzcRwMevsVP9JM+eFJliWIfkjL6RYnVy29HH1zFwKTB/eJc1NVFGROY84dwrfqcI+B8KpOZ1waT1qDgCXQ==" saltValue="0Itsi1W8Rg+oXl6coWpo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E28" sqref="E28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ht="13.25" customHeight="1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ht="13.25" customHeight="1" x14ac:dyDescent="0.25">
      <c r="C3" s="8" t="s">
        <v>339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ht="13.25" customHeight="1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ht="13.25" customHeight="1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ht="13.25" customHeight="1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ht="13.25" customHeight="1" x14ac:dyDescent="0.25">
      <c r="C7" s="8" t="s">
        <v>339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330</v>
      </c>
    </row>
    <row r="10" spans="1:8" ht="13" customHeight="1" x14ac:dyDescent="0.3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ht="13.25" customHeight="1" x14ac:dyDescent="0.25">
      <c r="A11" s="3" t="s">
        <v>168</v>
      </c>
      <c r="B11" s="8" t="s">
        <v>94</v>
      </c>
      <c r="C11" s="3" t="s">
        <v>338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ht="13.25" customHeight="1" x14ac:dyDescent="0.25">
      <c r="C12" s="8" t="s">
        <v>339</v>
      </c>
      <c r="D12" s="90">
        <v>0</v>
      </c>
      <c r="E12" s="90">
        <v>0</v>
      </c>
      <c r="F12" s="90">
        <v>0</v>
      </c>
      <c r="G12" s="90">
        <v>0</v>
      </c>
    </row>
    <row r="13" spans="1:8" ht="13.25" customHeight="1" x14ac:dyDescent="0.25">
      <c r="A13" s="3" t="s">
        <v>187</v>
      </c>
      <c r="B13" s="8" t="s">
        <v>94</v>
      </c>
      <c r="C13" s="3" t="s">
        <v>338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ht="13.25" customHeight="1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ht="13.25" customHeight="1" x14ac:dyDescent="0.25">
      <c r="A15" s="3" t="s">
        <v>186</v>
      </c>
      <c r="B15" s="8" t="s">
        <v>94</v>
      </c>
      <c r="C15" s="3" t="s">
        <v>338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ht="13.25" customHeight="1" x14ac:dyDescent="0.25">
      <c r="C16" s="8" t="s">
        <v>339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333</v>
      </c>
    </row>
    <row r="19" spans="1:7" ht="13" customHeight="1" x14ac:dyDescent="0.3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ht="13.25" customHeight="1" x14ac:dyDescent="0.25">
      <c r="A20" s="3" t="s">
        <v>168</v>
      </c>
      <c r="B20" s="8" t="s">
        <v>94</v>
      </c>
      <c r="C20" s="3" t="s">
        <v>338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ht="13.25" customHeight="1" x14ac:dyDescent="0.25">
      <c r="C21" s="8" t="s">
        <v>339</v>
      </c>
      <c r="D21" s="90">
        <v>0.98</v>
      </c>
      <c r="E21" s="90">
        <v>0.98</v>
      </c>
      <c r="F21" s="90">
        <v>0.98</v>
      </c>
      <c r="G21" s="90">
        <v>0.98</v>
      </c>
    </row>
    <row r="22" spans="1:7" ht="13.25" customHeight="1" x14ac:dyDescent="0.25">
      <c r="A22" s="3" t="s">
        <v>187</v>
      </c>
      <c r="B22" s="8" t="s">
        <v>94</v>
      </c>
      <c r="C22" s="3" t="s">
        <v>338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ht="13.25" customHeight="1" x14ac:dyDescent="0.25">
      <c r="C23" s="8" t="s">
        <v>339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ht="13.25" customHeight="1" x14ac:dyDescent="0.25">
      <c r="A24" s="3" t="s">
        <v>186</v>
      </c>
      <c r="B24" s="8" t="s">
        <v>94</v>
      </c>
      <c r="C24" s="3" t="s">
        <v>338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ht="13.25" customHeight="1" x14ac:dyDescent="0.25">
      <c r="C25" s="8" t="s">
        <v>339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SSCu+FR+SN+siPEoAiap+3g3Z0SGqFtJklZqGSbEJvGKfBY2J7BHBpfevFvAYPx8Hf15tBeGKZdJ4ehQEpyLRg==" saltValue="A0PmMaoo+OfazXy7x4UxVw==" spinCount="100000" sheet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3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7.4945718500848213E-3</v>
      </c>
    </row>
    <row r="4" spans="1:8" ht="15.75" customHeight="1" x14ac:dyDescent="0.25">
      <c r="B4" s="19" t="s">
        <v>69</v>
      </c>
      <c r="C4" s="101">
        <v>0.17209629273427901</v>
      </c>
    </row>
    <row r="5" spans="1:8" ht="15.75" customHeight="1" x14ac:dyDescent="0.25">
      <c r="B5" s="19" t="s">
        <v>70</v>
      </c>
      <c r="C5" s="101">
        <v>6.2544277647704441E-2</v>
      </c>
    </row>
    <row r="6" spans="1:8" ht="15.75" customHeight="1" x14ac:dyDescent="0.25">
      <c r="B6" s="19" t="s">
        <v>71</v>
      </c>
      <c r="C6" s="101">
        <v>0.21788066476586551</v>
      </c>
    </row>
    <row r="7" spans="1:8" ht="15.75" customHeight="1" x14ac:dyDescent="0.25">
      <c r="B7" s="19" t="s">
        <v>72</v>
      </c>
      <c r="C7" s="101">
        <v>0.39978666929077389</v>
      </c>
    </row>
    <row r="8" spans="1:8" ht="15.75" customHeight="1" x14ac:dyDescent="0.25">
      <c r="B8" s="19" t="s">
        <v>73</v>
      </c>
      <c r="C8" s="101">
        <v>9.9387524187077268E-3</v>
      </c>
    </row>
    <row r="9" spans="1:8" ht="15.75" customHeight="1" x14ac:dyDescent="0.25">
      <c r="B9" s="19" t="s">
        <v>74</v>
      </c>
      <c r="C9" s="101">
        <v>7.7574984766219032E-2</v>
      </c>
    </row>
    <row r="10" spans="1:8" ht="15.75" customHeight="1" x14ac:dyDescent="0.25">
      <c r="B10" s="19" t="s">
        <v>75</v>
      </c>
      <c r="C10" s="101">
        <v>5.2683786526365531E-2</v>
      </c>
    </row>
    <row r="11" spans="1:8" ht="15.75" customHeight="1" x14ac:dyDescent="0.25">
      <c r="B11" s="27" t="s">
        <v>30</v>
      </c>
      <c r="C11" s="48">
        <f>SUM(C3:C10)</f>
        <v>0.99999999999999989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0.14874555186736271</v>
      </c>
      <c r="D14" s="55">
        <v>0.14874555186736271</v>
      </c>
      <c r="E14" s="55">
        <v>0.14874555186736271</v>
      </c>
      <c r="F14" s="55">
        <v>0.14874555186736271</v>
      </c>
    </row>
    <row r="15" spans="1:8" ht="15.75" customHeight="1" x14ac:dyDescent="0.25">
      <c r="B15" s="19" t="s">
        <v>82</v>
      </c>
      <c r="C15" s="101">
        <v>0.21578031105460391</v>
      </c>
      <c r="D15" s="101">
        <v>0.21578031105460391</v>
      </c>
      <c r="E15" s="101">
        <v>0.21578031105460391</v>
      </c>
      <c r="F15" s="101">
        <v>0.21578031105460391</v>
      </c>
    </row>
    <row r="16" spans="1:8" ht="15.75" customHeight="1" x14ac:dyDescent="0.25">
      <c r="B16" s="19" t="s">
        <v>83</v>
      </c>
      <c r="C16" s="101">
        <v>2.3644231099404261E-2</v>
      </c>
      <c r="D16" s="101">
        <v>2.3644231099404261E-2</v>
      </c>
      <c r="E16" s="101">
        <v>2.3644231099404261E-2</v>
      </c>
      <c r="F16" s="101">
        <v>2.3644231099404261E-2</v>
      </c>
    </row>
    <row r="17" spans="1:8" ht="15.75" customHeight="1" x14ac:dyDescent="0.25">
      <c r="B17" s="19" t="s">
        <v>84</v>
      </c>
      <c r="C17" s="101">
        <v>3.137023065468536E-2</v>
      </c>
      <c r="D17" s="101">
        <v>3.137023065468536E-2</v>
      </c>
      <c r="E17" s="101">
        <v>3.137023065468536E-2</v>
      </c>
      <c r="F17" s="101">
        <v>3.137023065468536E-2</v>
      </c>
    </row>
    <row r="18" spans="1:8" ht="15.75" customHeight="1" x14ac:dyDescent="0.25">
      <c r="B18" s="19" t="s">
        <v>85</v>
      </c>
      <c r="C18" s="101">
        <v>2.4821931183506792E-2</v>
      </c>
      <c r="D18" s="101">
        <v>2.4821931183506792E-2</v>
      </c>
      <c r="E18" s="101">
        <v>2.4821931183506792E-2</v>
      </c>
      <c r="F18" s="101">
        <v>2.4821931183506792E-2</v>
      </c>
    </row>
    <row r="19" spans="1:8" ht="15.75" customHeight="1" x14ac:dyDescent="0.25">
      <c r="B19" s="19" t="s">
        <v>86</v>
      </c>
      <c r="C19" s="101">
        <v>2.259716254451119E-2</v>
      </c>
      <c r="D19" s="101">
        <v>2.259716254451119E-2</v>
      </c>
      <c r="E19" s="101">
        <v>2.259716254451119E-2</v>
      </c>
      <c r="F19" s="101">
        <v>2.259716254451119E-2</v>
      </c>
    </row>
    <row r="20" spans="1:8" ht="15.75" customHeight="1" x14ac:dyDescent="0.25">
      <c r="B20" s="19" t="s">
        <v>87</v>
      </c>
      <c r="C20" s="101">
        <v>9.9293493019270186E-3</v>
      </c>
      <c r="D20" s="101">
        <v>9.9293493019270186E-3</v>
      </c>
      <c r="E20" s="101">
        <v>9.9293493019270186E-3</v>
      </c>
      <c r="F20" s="101">
        <v>9.9293493019270186E-3</v>
      </c>
    </row>
    <row r="21" spans="1:8" ht="15.75" customHeight="1" x14ac:dyDescent="0.25">
      <c r="B21" s="19" t="s">
        <v>88</v>
      </c>
      <c r="C21" s="101">
        <v>0.1288626843344533</v>
      </c>
      <c r="D21" s="101">
        <v>0.1288626843344533</v>
      </c>
      <c r="E21" s="101">
        <v>0.1288626843344533</v>
      </c>
      <c r="F21" s="101">
        <v>0.1288626843344533</v>
      </c>
    </row>
    <row r="22" spans="1:8" ht="15.75" customHeight="1" x14ac:dyDescent="0.25">
      <c r="B22" s="19" t="s">
        <v>89</v>
      </c>
      <c r="C22" s="101">
        <v>0.39424854795954561</v>
      </c>
      <c r="D22" s="101">
        <v>0.39424854795954561</v>
      </c>
      <c r="E22" s="101">
        <v>0.39424854795954561</v>
      </c>
      <c r="F22" s="101">
        <v>0.39424854795954561</v>
      </c>
    </row>
    <row r="23" spans="1:8" ht="15.75" customHeight="1" x14ac:dyDescent="0.25">
      <c r="B23" s="27" t="s">
        <v>30</v>
      </c>
      <c r="C23" s="48">
        <f>SUM(C14:C22)</f>
        <v>1.0000000000000002</v>
      </c>
      <c r="D23" s="48">
        <f>SUM(D14:D22)</f>
        <v>1.0000000000000002</v>
      </c>
      <c r="E23" s="48">
        <f>SUM(E14:E22)</f>
        <v>1.0000000000000002</v>
      </c>
      <c r="F23" s="48">
        <f>SUM(F14:F22)</f>
        <v>1.0000000000000002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4.6824316999999997E-2</v>
      </c>
    </row>
    <row r="27" spans="1:8" ht="15.75" customHeight="1" x14ac:dyDescent="0.25">
      <c r="B27" s="19" t="s">
        <v>92</v>
      </c>
      <c r="C27" s="101">
        <v>2.7708330999999999E-2</v>
      </c>
    </row>
    <row r="28" spans="1:8" ht="15.75" customHeight="1" x14ac:dyDescent="0.25">
      <c r="B28" s="19" t="s">
        <v>93</v>
      </c>
      <c r="C28" s="101">
        <v>0.192682248</v>
      </c>
    </row>
    <row r="29" spans="1:8" ht="15.75" customHeight="1" x14ac:dyDescent="0.25">
      <c r="B29" s="19" t="s">
        <v>94</v>
      </c>
      <c r="C29" s="101">
        <v>0.15047112300000001</v>
      </c>
    </row>
    <row r="30" spans="1:8" ht="15.75" customHeight="1" x14ac:dyDescent="0.25">
      <c r="B30" s="19" t="s">
        <v>95</v>
      </c>
      <c r="C30" s="101">
        <v>4.9998465000000013E-2</v>
      </c>
    </row>
    <row r="31" spans="1:8" ht="15.75" customHeight="1" x14ac:dyDescent="0.25">
      <c r="B31" s="19" t="s">
        <v>96</v>
      </c>
      <c r="C31" s="101">
        <v>3.0442113E-2</v>
      </c>
    </row>
    <row r="32" spans="1:8" ht="15.75" customHeight="1" x14ac:dyDescent="0.25">
      <c r="B32" s="19" t="s">
        <v>97</v>
      </c>
      <c r="C32" s="101">
        <v>8.5598303000000001E-2</v>
      </c>
    </row>
    <row r="33" spans="2:3" ht="15.75" customHeight="1" x14ac:dyDescent="0.25">
      <c r="B33" s="19" t="s">
        <v>98</v>
      </c>
      <c r="C33" s="101">
        <v>0.16741062000000001</v>
      </c>
    </row>
    <row r="34" spans="2:3" ht="15.75" customHeight="1" x14ac:dyDescent="0.25">
      <c r="B34" s="19" t="s">
        <v>99</v>
      </c>
      <c r="C34" s="101">
        <v>0.24886448</v>
      </c>
    </row>
    <row r="35" spans="2:3" ht="15.75" customHeight="1" x14ac:dyDescent="0.25">
      <c r="B35" s="27" t="s">
        <v>30</v>
      </c>
      <c r="C35" s="48">
        <f>SUM(C26:C34)</f>
        <v>1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0.55915256084357634</v>
      </c>
      <c r="D2" s="52">
        <f>IFERROR(1-_xlfn.NORM.DIST(_xlfn.NORM.INV(SUM(D4:D5), 0, 1) + 1, 0, 1, TRUE), "")</f>
        <v>0.55915256084357634</v>
      </c>
      <c r="E2" s="52">
        <f>IFERROR(1-_xlfn.NORM.DIST(_xlfn.NORM.INV(SUM(E4:E5), 0, 1) + 1, 0, 1, TRUE), "")</f>
        <v>0.44621296499964502</v>
      </c>
      <c r="F2" s="52">
        <f>IFERROR(1-_xlfn.NORM.DIST(_xlfn.NORM.INV(SUM(F4:F5), 0, 1) + 1, 0, 1, TRUE), "")</f>
        <v>0.22224116864615007</v>
      </c>
      <c r="G2" s="52">
        <f>IFERROR(1-_xlfn.NORM.DIST(_xlfn.NORM.INV(SUM(G4:G5), 0, 1) + 1, 0, 1, TRUE), "")</f>
        <v>0.18165389044197644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0.31553254036749467</v>
      </c>
      <c r="D3" s="52">
        <f>IFERROR(_xlfn.NORM.DIST(_xlfn.NORM.INV(SUM(D4:D5), 0, 1) + 1, 0, 1, TRUE) - SUM(D4:D5), "")</f>
        <v>0.31553254036749467</v>
      </c>
      <c r="E3" s="52">
        <f>IFERROR(_xlfn.NORM.DIST(_xlfn.NORM.INV(SUM(E4:E5), 0, 1) + 1, 0, 1, TRUE) - SUM(E4:E5), "")</f>
        <v>0.36020309205058337</v>
      </c>
      <c r="F3" s="52">
        <f>IFERROR(_xlfn.NORM.DIST(_xlfn.NORM.INV(SUM(F4:F5), 0, 1) + 1, 0, 1, TRUE) - SUM(F4:F5), "")</f>
        <v>0.37079181727952493</v>
      </c>
      <c r="G3" s="52">
        <f>IFERROR(_xlfn.NORM.DIST(_xlfn.NORM.INV(SUM(G4:G5), 0, 1) + 1, 0, 1, TRUE) - SUM(G4:G5), "")</f>
        <v>0.35456794159499555</v>
      </c>
    </row>
    <row r="4" spans="1:15" ht="15.75" customHeight="1" x14ac:dyDescent="0.25">
      <c r="B4" s="5" t="s">
        <v>104</v>
      </c>
      <c r="C4" s="45">
        <v>6.6612973809242207E-2</v>
      </c>
      <c r="D4" s="53">
        <v>6.6612973809242207E-2</v>
      </c>
      <c r="E4" s="53">
        <v>0.12343271076679201</v>
      </c>
      <c r="F4" s="53">
        <v>0.213793709874153</v>
      </c>
      <c r="G4" s="53">
        <v>0.229744598269463</v>
      </c>
    </row>
    <row r="5" spans="1:15" ht="15.75" customHeight="1" x14ac:dyDescent="0.25">
      <c r="B5" s="5" t="s">
        <v>105</v>
      </c>
      <c r="C5" s="45">
        <v>5.8701924979686702E-2</v>
      </c>
      <c r="D5" s="53">
        <v>5.8701924979686702E-2</v>
      </c>
      <c r="E5" s="53">
        <v>7.0151232182979598E-2</v>
      </c>
      <c r="F5" s="53">
        <v>0.19317330420017201</v>
      </c>
      <c r="G5" s="53">
        <v>0.23403356969356501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0.56768338010969677</v>
      </c>
      <c r="D8" s="52">
        <f>IFERROR(1-_xlfn.NORM.DIST(_xlfn.NORM.INV(SUM(D10:D11), 0, 1) + 1, 0, 1, TRUE), "")</f>
        <v>0.56768338010969677</v>
      </c>
      <c r="E8" s="52">
        <f>IFERROR(1-_xlfn.NORM.DIST(_xlfn.NORM.INV(SUM(E10:E11), 0, 1) + 1, 0, 1, TRUE), "")</f>
        <v>0.46380718523307674</v>
      </c>
      <c r="F8" s="52">
        <f>IFERROR(1-_xlfn.NORM.DIST(_xlfn.NORM.INV(SUM(F10:F11), 0, 1) + 1, 0, 1, TRUE), "")</f>
        <v>0.41918022964160861</v>
      </c>
      <c r="G8" s="52">
        <f>IFERROR(1-_xlfn.NORM.DIST(_xlfn.NORM.INV(SUM(G10:G11), 0, 1) + 1, 0, 1, TRUE), "")</f>
        <v>0.51649948273392021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0.31141254304584942</v>
      </c>
      <c r="D9" s="52">
        <f>IFERROR(_xlfn.NORM.DIST(_xlfn.NORM.INV(SUM(D10:D11), 0, 1) + 1, 0, 1, TRUE) - SUM(D10:D11), "")</f>
        <v>0.31141254304584942</v>
      </c>
      <c r="E9" s="52">
        <f>IFERROR(_xlfn.NORM.DIST(_xlfn.NORM.INV(SUM(E10:E11), 0, 1) + 1, 0, 1, TRUE) - SUM(E10:E11), "")</f>
        <v>0.35455819866017507</v>
      </c>
      <c r="F9" s="52">
        <f>IFERROR(_xlfn.NORM.DIST(_xlfn.NORM.INV(SUM(F10:F11), 0, 1) + 1, 0, 1, TRUE) - SUM(F10:F11), "")</f>
        <v>0.36780634116370303</v>
      </c>
      <c r="G9" s="52">
        <f>IFERROR(_xlfn.NORM.DIST(_xlfn.NORM.INV(SUM(G10:G11), 0, 1) + 1, 0, 1, TRUE) - SUM(G10:G11), "")</f>
        <v>0.33464855636863405</v>
      </c>
    </row>
    <row r="10" spans="1:15" ht="15.75" customHeight="1" x14ac:dyDescent="0.25">
      <c r="B10" s="5" t="s">
        <v>109</v>
      </c>
      <c r="C10" s="45">
        <v>7.9324923455715193E-2</v>
      </c>
      <c r="D10" s="53">
        <v>7.9324923455715193E-2</v>
      </c>
      <c r="E10" s="53">
        <v>0.121915906667709</v>
      </c>
      <c r="F10" s="53">
        <v>0.15423063933849299</v>
      </c>
      <c r="G10" s="53">
        <v>0.11141529679298399</v>
      </c>
    </row>
    <row r="11" spans="1:15" ht="15.75" customHeight="1" x14ac:dyDescent="0.25">
      <c r="B11" s="5" t="s">
        <v>110</v>
      </c>
      <c r="C11" s="45">
        <v>4.1579153388738598E-2</v>
      </c>
      <c r="D11" s="53">
        <v>4.1579153388738598E-2</v>
      </c>
      <c r="E11" s="53">
        <v>5.9718709439039203E-2</v>
      </c>
      <c r="F11" s="53">
        <v>5.8782789856195387E-2</v>
      </c>
      <c r="G11" s="53">
        <v>3.7436664104461698E-2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0.58450609649999996</v>
      </c>
      <c r="D14" s="54">
        <v>0.57874480719300003</v>
      </c>
      <c r="E14" s="54">
        <v>0.57874480719300003</v>
      </c>
      <c r="F14" s="54">
        <v>0.56689632875700002</v>
      </c>
      <c r="G14" s="54">
        <v>0.56689632875700002</v>
      </c>
      <c r="H14" s="45">
        <v>0.34100000000000003</v>
      </c>
      <c r="I14" s="55">
        <v>0.34100000000000003</v>
      </c>
      <c r="J14" s="55">
        <v>0.34100000000000003</v>
      </c>
      <c r="K14" s="55">
        <v>0.34100000000000003</v>
      </c>
      <c r="L14" s="45">
        <v>0.30399999999999999</v>
      </c>
      <c r="M14" s="55">
        <v>0.30399999999999999</v>
      </c>
      <c r="N14" s="55">
        <v>0.30399999999999999</v>
      </c>
      <c r="O14" s="55">
        <v>0.30399999999999999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0.30731986189948052</v>
      </c>
      <c r="D15" s="52">
        <f t="shared" si="0"/>
        <v>0.30429070849151402</v>
      </c>
      <c r="E15" s="52">
        <f t="shared" si="0"/>
        <v>0.30429070849151402</v>
      </c>
      <c r="F15" s="52">
        <f t="shared" si="0"/>
        <v>0.29806105104486924</v>
      </c>
      <c r="G15" s="52">
        <f t="shared" si="0"/>
        <v>0.29806105104486924</v>
      </c>
      <c r="H15" s="52">
        <f t="shared" si="0"/>
        <v>0.17928995700000003</v>
      </c>
      <c r="I15" s="52">
        <f t="shared" si="0"/>
        <v>0.17928995700000003</v>
      </c>
      <c r="J15" s="52">
        <f t="shared" si="0"/>
        <v>0.17928995700000003</v>
      </c>
      <c r="K15" s="52">
        <f t="shared" si="0"/>
        <v>0.17928995700000003</v>
      </c>
      <c r="L15" s="52">
        <f t="shared" si="0"/>
        <v>0.15983620800000001</v>
      </c>
      <c r="M15" s="52">
        <f t="shared" si="0"/>
        <v>0.15983620800000001</v>
      </c>
      <c r="N15" s="52">
        <f t="shared" si="0"/>
        <v>0.15983620800000001</v>
      </c>
      <c r="O15" s="52">
        <f t="shared" si="0"/>
        <v>0.15983620800000001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0.76390492916107211</v>
      </c>
      <c r="D2" s="53">
        <v>0.53045450000000005</v>
      </c>
      <c r="E2" s="53"/>
      <c r="F2" s="53"/>
      <c r="G2" s="53"/>
    </row>
    <row r="3" spans="1:7" x14ac:dyDescent="0.25">
      <c r="B3" s="3" t="s">
        <v>120</v>
      </c>
      <c r="C3" s="53">
        <v>0.12635542452335399</v>
      </c>
      <c r="D3" s="53">
        <v>0.26860529999999999</v>
      </c>
      <c r="E3" s="53"/>
      <c r="F3" s="53"/>
      <c r="G3" s="53"/>
    </row>
    <row r="4" spans="1:7" x14ac:dyDescent="0.25">
      <c r="B4" s="3" t="s">
        <v>121</v>
      </c>
      <c r="C4" s="53">
        <v>8.7546065449714702E-2</v>
      </c>
      <c r="D4" s="53">
        <v>0.18029980000000001</v>
      </c>
      <c r="E4" s="53">
        <v>0.95787936449050903</v>
      </c>
      <c r="F4" s="53">
        <v>0.72524291276931807</v>
      </c>
      <c r="G4" s="53"/>
    </row>
    <row r="5" spans="1:7" x14ac:dyDescent="0.25">
      <c r="B5" s="3" t="s">
        <v>122</v>
      </c>
      <c r="C5" s="52">
        <v>2.2193556651473E-2</v>
      </c>
      <c r="D5" s="52">
        <v>2.0640363916754698E-2</v>
      </c>
      <c r="E5" s="52">
        <f>1-SUM(E2:E4)</f>
        <v>4.2120635509490967E-2</v>
      </c>
      <c r="F5" s="52">
        <f>1-SUM(F2:F4)</f>
        <v>0.27475708723068193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ht="13.25" customHeight="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ht="13.25" customHeight="1" x14ac:dyDescent="0.25">
      <c r="B3" s="9"/>
    </row>
    <row r="4" spans="1:11" ht="13.25" customHeight="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ht="13.25" customHeight="1" x14ac:dyDescent="0.25">
      <c r="B5" s="9"/>
    </row>
    <row r="6" spans="1:11" ht="13.25" customHeight="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ht="13.25" customHeight="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ht="13.25" customHeight="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ht="13.25" customHeight="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ht="13.25" customHeight="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ht="13.25" customHeight="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ht="13.25" customHeight="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135</v>
      </c>
      <c r="B1" s="4" t="s">
        <v>136</v>
      </c>
    </row>
    <row r="2" spans="1:2" ht="13.25" customHeight="1" x14ac:dyDescent="0.25">
      <c r="A2" s="8" t="s">
        <v>137</v>
      </c>
      <c r="B2" s="41">
        <v>10</v>
      </c>
    </row>
    <row r="3" spans="1:2" ht="13.25" customHeight="1" x14ac:dyDescent="0.25">
      <c r="A3" s="8" t="s">
        <v>138</v>
      </c>
      <c r="B3" s="41">
        <v>10</v>
      </c>
    </row>
    <row r="4" spans="1:2" ht="13.25" customHeight="1" x14ac:dyDescent="0.25">
      <c r="A4" s="8" t="s">
        <v>139</v>
      </c>
      <c r="B4" s="41">
        <v>10</v>
      </c>
    </row>
    <row r="5" spans="1:2" ht="13.25" customHeight="1" x14ac:dyDescent="0.25">
      <c r="A5" s="8" t="s">
        <v>140</v>
      </c>
      <c r="B5" s="41">
        <v>10</v>
      </c>
    </row>
    <row r="6" spans="1:2" ht="13.25" customHeight="1" x14ac:dyDescent="0.25">
      <c r="A6" s="8" t="s">
        <v>141</v>
      </c>
      <c r="B6" s="41">
        <v>10</v>
      </c>
    </row>
    <row r="7" spans="1:2" ht="13.25" customHeight="1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ht="13" customHeight="1" x14ac:dyDescent="0.3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ht="13.25" customHeight="1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ht="13.25" customHeight="1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ht="13.25" customHeight="1" x14ac:dyDescent="0.25">
      <c r="B5" s="32" t="s">
        <v>78</v>
      </c>
      <c r="C5" s="47"/>
      <c r="D5" s="47"/>
      <c r="E5" s="38" t="str">
        <f>IF(E$7="","",E$7)</f>
        <v/>
      </c>
    </row>
    <row r="6" spans="1:5" ht="13.25" customHeight="1" x14ac:dyDescent="0.25">
      <c r="B6" s="32" t="s">
        <v>79</v>
      </c>
      <c r="C6" s="47"/>
      <c r="D6" s="47"/>
      <c r="E6" s="38" t="str">
        <f>IF(E$7="","",E$7)</f>
        <v/>
      </c>
    </row>
    <row r="7" spans="1:5" ht="13.25" customHeight="1" x14ac:dyDescent="0.25">
      <c r="B7" s="32" t="s">
        <v>150</v>
      </c>
      <c r="C7" s="31"/>
      <c r="D7" s="30"/>
      <c r="E7" s="47"/>
    </row>
    <row r="9" spans="1:5" ht="13" customHeight="1" x14ac:dyDescent="0.3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ht="13.25" customHeight="1" x14ac:dyDescent="0.25">
      <c r="B10" s="32" t="s">
        <v>67</v>
      </c>
      <c r="C10" s="47"/>
      <c r="D10" s="47"/>
      <c r="E10" s="38" t="str">
        <f>IF(E$7="","",E$7)</f>
        <v/>
      </c>
    </row>
    <row r="11" spans="1:5" ht="13.25" customHeight="1" x14ac:dyDescent="0.25">
      <c r="B11" s="32" t="s">
        <v>77</v>
      </c>
      <c r="C11" s="47"/>
      <c r="D11" s="47"/>
      <c r="E11" s="38" t="str">
        <f>IF(E$7="","",E$7)</f>
        <v/>
      </c>
    </row>
    <row r="12" spans="1:5" ht="13.25" customHeight="1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ht="13.25" customHeight="1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ht="13.25" customHeight="1" x14ac:dyDescent="0.25">
      <c r="B14" s="32" t="s">
        <v>150</v>
      </c>
      <c r="C14" s="31"/>
      <c r="D14" s="30"/>
      <c r="E14" s="47"/>
    </row>
    <row r="16" spans="1:5" ht="13" customHeight="1" x14ac:dyDescent="0.3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ht="13.25" customHeight="1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ht="13.25" customHeight="1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ht="13.25" customHeight="1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ht="13.25" customHeight="1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ht="13.25" customHeight="1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1</v>
      </c>
      <c r="B1" s="36" t="s">
        <v>153</v>
      </c>
      <c r="C1" s="40" t="s">
        <v>154</v>
      </c>
      <c r="D1" s="40" t="s">
        <v>155</v>
      </c>
    </row>
    <row r="2" spans="1:4" ht="13" customHeight="1" x14ac:dyDescent="0.3">
      <c r="A2" s="40" t="s">
        <v>156</v>
      </c>
      <c r="B2" s="32" t="s">
        <v>157</v>
      </c>
      <c r="C2" s="32" t="s">
        <v>158</v>
      </c>
      <c r="D2" s="47"/>
    </row>
    <row r="3" spans="1:4" ht="13" customHeight="1" x14ac:dyDescent="0.3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2024-03-18T00:21:20Z</dcterms:modified>
</cp:coreProperties>
</file>