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76308FA2-040A-4E94-9127-392B4A969B20}" xr6:coauthVersionLast="47" xr6:coauthVersionMax="47" xr10:uidLastSave="{00000000-0000-0000-0000-000000000000}"/>
  <bookViews>
    <workbookView xWindow="0" yWindow="3670" windowWidth="19200" windowHeight="653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F152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H129" i="27"/>
  <c r="F129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H112" i="27"/>
  <c r="E112" i="27"/>
  <c r="D112" i="27"/>
  <c r="H97" i="27"/>
  <c r="H152" i="27" s="1"/>
  <c r="G97" i="27"/>
  <c r="G152" i="27" s="1"/>
  <c r="F97" i="27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G74" i="27"/>
  <c r="G129" i="27" s="1"/>
  <c r="F74" i="27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G39" i="2"/>
  <c r="I39" i="2" s="1"/>
  <c r="A39" i="2"/>
  <c r="H38" i="2"/>
  <c r="I38" i="2" s="1"/>
  <c r="G38" i="2"/>
  <c r="A38" i="2"/>
  <c r="A37" i="2"/>
  <c r="A35" i="2"/>
  <c r="A34" i="2"/>
  <c r="A33" i="2"/>
  <c r="A32" i="2"/>
  <c r="A30" i="2"/>
  <c r="A29" i="2"/>
  <c r="A27" i="2"/>
  <c r="A26" i="2"/>
  <c r="A25" i="2"/>
  <c r="A24" i="2"/>
  <c r="A22" i="2"/>
  <c r="A21" i="2"/>
  <c r="A19" i="2"/>
  <c r="A18" i="2"/>
  <c r="A17" i="2"/>
  <c r="A16" i="2"/>
  <c r="A14" i="2"/>
  <c r="A13" i="2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A3" i="2"/>
  <c r="H2" i="2"/>
  <c r="G2" i="2"/>
  <c r="I2" i="2" s="1"/>
  <c r="A2" i="2"/>
  <c r="A31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<sst xmlns="http://schemas.openxmlformats.org/spreadsheetml/2006/main" count="2092" uniqueCount="341">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</sst>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2352888.984375</v>
      </c>
    </row>
    <row r="8" spans="1:3" ht="15" customHeight="1" x14ac:dyDescent="0.25">
      <c r="B8" s="5" t="s">
        <v>8</v>
      </c>
      <c r="C8" s="44">
        <v>0.10199999999999999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0.73104637145996099</v>
      </c>
    </row>
    <row r="11" spans="1:3" ht="15" customHeight="1" x14ac:dyDescent="0.25">
      <c r="B11" s="5" t="s">
        <v>11</v>
      </c>
      <c r="C11" s="45">
        <v>0.96200000000000008</v>
      </c>
    </row>
    <row r="12" spans="1:3" ht="15" customHeight="1" x14ac:dyDescent="0.25">
      <c r="B12" s="5" t="s">
        <v>12</v>
      </c>
      <c r="C12" s="45">
        <v>0.72</v>
      </c>
    </row>
    <row r="13" spans="1:3" ht="15" customHeight="1" x14ac:dyDescent="0.25">
      <c r="B13" s="5" t="s">
        <v>13</v>
      </c>
      <c r="C13" s="45">
        <v>0.17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0.18629999999999999</v>
      </c>
    </row>
    <row r="24" spans="1:3" ht="15" customHeight="1" x14ac:dyDescent="0.25">
      <c r="B24" s="15" t="s">
        <v>22</v>
      </c>
      <c r="C24" s="45">
        <v>0.53220000000000001</v>
      </c>
    </row>
    <row r="25" spans="1:3" ht="15" customHeight="1" x14ac:dyDescent="0.25">
      <c r="B25" s="15" t="s">
        <v>23</v>
      </c>
      <c r="C25" s="45">
        <v>0.24540000000000001</v>
      </c>
    </row>
    <row r="26" spans="1:3" ht="15" customHeight="1" x14ac:dyDescent="0.25">
      <c r="B26" s="15" t="s">
        <v>24</v>
      </c>
      <c r="C26" s="45">
        <v>3.61E-2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14.591883124677</v>
      </c>
    </row>
    <row r="38" spans="1:5" ht="15" customHeight="1" x14ac:dyDescent="0.25">
      <c r="B38" s="11" t="s">
        <v>34</v>
      </c>
      <c r="C38" s="43">
        <v>21.038436378730701</v>
      </c>
      <c r="D38" s="12"/>
      <c r="E38" s="13"/>
    </row>
    <row r="39" spans="1:5" ht="15" customHeight="1" x14ac:dyDescent="0.25">
      <c r="B39" s="11" t="s">
        <v>35</v>
      </c>
      <c r="C39" s="43">
        <v>24.199999999517399</v>
      </c>
      <c r="D39" s="12"/>
      <c r="E39" s="12"/>
    </row>
    <row r="40" spans="1:5" ht="15" customHeight="1" x14ac:dyDescent="0.25">
      <c r="B40" s="11" t="s">
        <v>36</v>
      </c>
      <c r="C40" s="100">
        <v>1.25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9.3542334619999998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7.4929999999999997E-3</v>
      </c>
      <c r="D45" s="12"/>
    </row>
    <row r="46" spans="1:5" ht="15.75" customHeight="1" x14ac:dyDescent="0.25">
      <c r="B46" s="11" t="s">
        <v>41</v>
      </c>
      <c r="C46" s="45">
        <v>7.5271499999999991E-2</v>
      </c>
      <c r="D46" s="12"/>
    </row>
    <row r="47" spans="1:5" ht="15.75" customHeight="1" x14ac:dyDescent="0.25">
      <c r="B47" s="11" t="s">
        <v>42</v>
      </c>
      <c r="C47" s="45">
        <v>5.8132499999999997E-2</v>
      </c>
      <c r="D47" s="12"/>
      <c r="E47" s="13"/>
    </row>
    <row r="48" spans="1:5" ht="15" customHeight="1" x14ac:dyDescent="0.25">
      <c r="B48" s="11" t="s">
        <v>43</v>
      </c>
      <c r="C48" s="46">
        <v>0.85910300000000006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0.58011699999999999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9.1047744999999902E-2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</v>
      </c>
      <c r="C2" s="98">
        <v>0.95</v>
      </c>
      <c r="D2" s="56">
        <v>91.27399970601509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43.717353164893979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935.6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1.4824883808812159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14.73506506491457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14.73506506491457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14.73506506491457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14.73506506491457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14.73506506491457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14.73506506491457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1.474307802764647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0.7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21.412062375026149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21.412062375026149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17.19927253299581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25.79440028261962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5.2081376493661544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</v>
      </c>
      <c r="C27" s="98">
        <v>0.95</v>
      </c>
      <c r="D27" s="56">
        <v>20.734427315471159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189.5238105577576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0.83911365311495534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</v>
      </c>
      <c r="C32" s="98">
        <v>0.95</v>
      </c>
      <c r="D32" s="56">
        <v>3.2374309865658208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0.93935019016922794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8.6805561005393574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ht="13.25" customHeight="1" x14ac:dyDescent="0.25">
      <c r="A2" s="57" t="s">
        <v>179</v>
      </c>
      <c r="B2" s="47" t="s">
        <v>189</v>
      </c>
      <c r="C2" s="47"/>
    </row>
    <row r="3" spans="1:3" ht="13.25" customHeight="1" x14ac:dyDescent="0.25">
      <c r="A3" s="57" t="s">
        <v>180</v>
      </c>
      <c r="B3" s="47" t="s">
        <v>189</v>
      </c>
      <c r="C3" s="47"/>
    </row>
    <row r="4" spans="1:3" ht="13.25" customHeight="1" x14ac:dyDescent="0.25">
      <c r="A4" s="57" t="s">
        <v>191</v>
      </c>
      <c r="B4" s="47" t="s">
        <v>184</v>
      </c>
      <c r="C4" s="47"/>
    </row>
    <row r="5" spans="1:3" ht="13.25" customHeight="1" x14ac:dyDescent="0.25">
      <c r="A5" s="57" t="s">
        <v>188</v>
      </c>
      <c r="B5" s="47" t="s">
        <v>184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ht="13.25" customHeight="1" x14ac:dyDescent="0.25">
      <c r="A2" s="33" t="s">
        <v>171</v>
      </c>
    </row>
    <row r="3" spans="1:1" ht="13.25" customHeight="1" x14ac:dyDescent="0.25">
      <c r="A3" s="33" t="s">
        <v>181</v>
      </c>
    </row>
    <row r="4" spans="1:1" ht="13.25" customHeight="1" x14ac:dyDescent="0.25">
      <c r="A4" s="33" t="s">
        <v>185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7.4863641746676382E-2</v>
      </c>
      <c r="C3" s="21">
        <f>frac_mam_1_5months * 2.6</f>
        <v>7.4863641746676382E-2</v>
      </c>
      <c r="D3" s="21">
        <f>frac_mam_6_11months * 2.6</f>
        <v>6.9755741869406848E-2</v>
      </c>
      <c r="E3" s="21">
        <f>frac_mam_12_23months * 2.6</f>
        <v>4.5638841189607905E-2</v>
      </c>
      <c r="F3" s="21">
        <f>frac_mam_24_59months * 2.6</f>
        <v>3.388538172207084E-2</v>
      </c>
    </row>
    <row r="4" spans="1:6" ht="15.75" customHeight="1" x14ac:dyDescent="0.25">
      <c r="A4" s="3" t="s">
        <v>205</v>
      </c>
      <c r="B4" s="21">
        <f>frac_sam_1month * 2.6</f>
        <v>4.4444193491540697E-2</v>
      </c>
      <c r="C4" s="21">
        <f>frac_sam_1_5months * 2.6</f>
        <v>4.4444193491540697E-2</v>
      </c>
      <c r="D4" s="21">
        <f>frac_sam_6_11months * 2.6</f>
        <v>2.6641044035594041E-2</v>
      </c>
      <c r="E4" s="21">
        <f>frac_sam_12_23months * 2.6</f>
        <v>1.8187397235948099E-2</v>
      </c>
      <c r="F4" s="21">
        <f>frac_sam_24_59months * 2.6</f>
        <v>1.1642928732624853E-2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0.10199999999999999</v>
      </c>
      <c r="E2" s="60">
        <f>food_insecure</f>
        <v>0.10199999999999999</v>
      </c>
      <c r="F2" s="60">
        <f>food_insecure</f>
        <v>0.10199999999999999</v>
      </c>
      <c r="G2" s="60">
        <f>food_insecure</f>
        <v>0.10199999999999999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0.10199999999999999</v>
      </c>
      <c r="F5" s="60">
        <f>food_insecure</f>
        <v>0.10199999999999999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0.10199999999999999</v>
      </c>
      <c r="F8" s="60">
        <f>food_insecure</f>
        <v>0.10199999999999999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0.10199999999999999</v>
      </c>
      <c r="F9" s="60">
        <f>food_insecure</f>
        <v>0.10199999999999999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0.72</v>
      </c>
      <c r="E10" s="60">
        <f>IF(ISBLANK(comm_deliv), frac_children_health_facility,1)</f>
        <v>0.72</v>
      </c>
      <c r="F10" s="60">
        <f>IF(ISBLANK(comm_deliv), frac_children_health_facility,1)</f>
        <v>0.72</v>
      </c>
      <c r="G10" s="60">
        <f>IF(ISBLANK(comm_deliv), frac_children_health_facility,1)</f>
        <v>0.72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0.10199999999999999</v>
      </c>
      <c r="I15" s="60">
        <f>food_insecure</f>
        <v>0.10199999999999999</v>
      </c>
      <c r="J15" s="60">
        <f>food_insecure</f>
        <v>0.10199999999999999</v>
      </c>
      <c r="K15" s="60">
        <f>food_insecure</f>
        <v>0.10199999999999999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0.96200000000000008</v>
      </c>
      <c r="I18" s="60">
        <f>frac_PW_health_facility</f>
        <v>0.96200000000000008</v>
      </c>
      <c r="J18" s="60">
        <f>frac_PW_health_facility</f>
        <v>0.96200000000000008</v>
      </c>
      <c r="K18" s="60">
        <f>frac_PW_health_facility</f>
        <v>0.96200000000000008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0.17</v>
      </c>
      <c r="M24" s="60">
        <f>famplan_unmet_need</f>
        <v>0.17</v>
      </c>
      <c r="N24" s="60">
        <f>famplan_unmet_need</f>
        <v>0.17</v>
      </c>
      <c r="O24" s="60">
        <f>famplan_unmet_need</f>
        <v>0.17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0.13754826470794676</v>
      </c>
      <c r="M25" s="60">
        <f>(1-food_insecure)*(0.49)+food_insecure*(0.7)</f>
        <v>0.51141999999999999</v>
      </c>
      <c r="N25" s="60">
        <f>(1-food_insecure)*(0.49)+food_insecure*(0.7)</f>
        <v>0.51141999999999999</v>
      </c>
      <c r="O25" s="60">
        <f>(1-food_insecure)*(0.49)+food_insecure*(0.7)</f>
        <v>0.51141999999999999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5.894925630340575E-2</v>
      </c>
      <c r="M26" s="60">
        <f>(1-food_insecure)*(0.21)+food_insecure*(0.3)</f>
        <v>0.21917999999999999</v>
      </c>
      <c r="N26" s="60">
        <f>(1-food_insecure)*(0.21)+food_insecure*(0.3)</f>
        <v>0.21917999999999999</v>
      </c>
      <c r="O26" s="60">
        <f>(1-food_insecure)*(0.21)+food_insecure*(0.3)</f>
        <v>0.21917999999999999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7.2456107528686503E-2</v>
      </c>
      <c r="M27" s="60">
        <f>(1-food_insecure)*(0.3)</f>
        <v>0.26939999999999997</v>
      </c>
      <c r="N27" s="60">
        <f>(1-food_insecure)*(0.3)</f>
        <v>0.26939999999999997</v>
      </c>
      <c r="O27" s="60">
        <f>(1-food_insecure)*(0.3)</f>
        <v>0.26939999999999997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0.73104637145996099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A12" sqref="A12:XFD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ht="13.25" customHeight="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ht="13.25" customHeight="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ht="13.25" customHeight="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ht="13.25" customHeight="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ht="13.25" customHeight="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ht="13.25" customHeight="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ht="13.25" customHeight="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ht="13.25" customHeight="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ht="13.25" customHeight="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ht="13.25" customHeight="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ht="13.25" customHeight="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ht="13.25" customHeight="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ht="13.25" customHeight="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ht="13.25" customHeight="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ht="13.25" customHeight="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ht="13.25" customHeight="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ht="13.25" customHeight="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ht="13.25" customHeight="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ht="13.25" customHeight="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ht="13.25" customHeight="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ht="13.25" customHeight="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ht="13.25" customHeight="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ht="13.25" customHeight="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590922.82200000004</v>
      </c>
      <c r="C2" s="49">
        <v>1406000</v>
      </c>
      <c r="D2" s="49">
        <v>2709000</v>
      </c>
      <c r="E2" s="49">
        <v>8324000</v>
      </c>
      <c r="F2" s="49">
        <v>7002000</v>
      </c>
      <c r="G2" s="17">
        <f t="shared" ref="G2:G11" si="0">C2+D2+E2+F2</f>
        <v>19441000</v>
      </c>
      <c r="H2" s="17">
        <f t="shared" ref="H2:H11" si="1">(B2 + stillbirth*B2/(1000-stillbirth))/(1-abortion)</f>
        <v>677843.9170692442</v>
      </c>
      <c r="I2" s="17">
        <f t="shared" ref="I2:I11" si="2">G2-H2</f>
        <v>18763156.082930755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588756.42400000012</v>
      </c>
      <c r="C3" s="50">
        <v>1413000</v>
      </c>
      <c r="D3" s="50">
        <v>2716000</v>
      </c>
      <c r="E3" s="50">
        <v>8432000</v>
      </c>
      <c r="F3" s="50">
        <v>7113000</v>
      </c>
      <c r="G3" s="17">
        <f t="shared" si="0"/>
        <v>19674000</v>
      </c>
      <c r="H3" s="17">
        <f t="shared" si="1"/>
        <v>675358.85531231156</v>
      </c>
      <c r="I3" s="17">
        <f t="shared" si="2"/>
        <v>18998641.14468769</v>
      </c>
    </row>
    <row r="4" spans="1:9" ht="15.75" customHeight="1" x14ac:dyDescent="0.25">
      <c r="A4" s="5">
        <f t="shared" si="3"/>
        <v>2023</v>
      </c>
      <c r="B4" s="49">
        <v>586272.05700000015</v>
      </c>
      <c r="C4" s="50">
        <v>1420000</v>
      </c>
      <c r="D4" s="50">
        <v>2725000</v>
      </c>
      <c r="E4" s="50">
        <v>8511000</v>
      </c>
      <c r="F4" s="50">
        <v>7223000</v>
      </c>
      <c r="G4" s="17">
        <f t="shared" si="0"/>
        <v>19879000</v>
      </c>
      <c r="H4" s="17">
        <f t="shared" si="1"/>
        <v>672509.05328060454</v>
      </c>
      <c r="I4" s="17">
        <f t="shared" si="2"/>
        <v>19206490.946719397</v>
      </c>
    </row>
    <row r="5" spans="1:9" ht="15.75" customHeight="1" x14ac:dyDescent="0.25">
      <c r="A5" s="5">
        <f t="shared" si="3"/>
        <v>2024</v>
      </c>
      <c r="B5" s="49">
        <v>583508.85400000017</v>
      </c>
      <c r="C5" s="50">
        <v>1425000</v>
      </c>
      <c r="D5" s="50">
        <v>2734000</v>
      </c>
      <c r="E5" s="50">
        <v>8540000</v>
      </c>
      <c r="F5" s="50">
        <v>7340000</v>
      </c>
      <c r="G5" s="17">
        <f t="shared" si="0"/>
        <v>20039000</v>
      </c>
      <c r="H5" s="17">
        <f t="shared" si="1"/>
        <v>669339.40019657218</v>
      </c>
      <c r="I5" s="17">
        <f t="shared" si="2"/>
        <v>19369660.599803429</v>
      </c>
    </row>
    <row r="6" spans="1:9" ht="15.75" customHeight="1" x14ac:dyDescent="0.25">
      <c r="A6" s="5">
        <f t="shared" si="3"/>
        <v>2025</v>
      </c>
      <c r="B6" s="49">
        <v>580437.6</v>
      </c>
      <c r="C6" s="50">
        <v>1430000</v>
      </c>
      <c r="D6" s="50">
        <v>2744000</v>
      </c>
      <c r="E6" s="50">
        <v>8501000</v>
      </c>
      <c r="F6" s="50">
        <v>7463000</v>
      </c>
      <c r="G6" s="17">
        <f t="shared" si="0"/>
        <v>20138000</v>
      </c>
      <c r="H6" s="17">
        <f t="shared" si="1"/>
        <v>665816.38371426961</v>
      </c>
      <c r="I6" s="17">
        <f t="shared" si="2"/>
        <v>19472183.61628573</v>
      </c>
    </row>
    <row r="7" spans="1:9" ht="15.75" customHeight="1" x14ac:dyDescent="0.25">
      <c r="A7" s="5">
        <f t="shared" si="3"/>
        <v>2026</v>
      </c>
      <c r="B7" s="49">
        <v>578349.40240000014</v>
      </c>
      <c r="C7" s="50">
        <v>1435000</v>
      </c>
      <c r="D7" s="50">
        <v>2758000</v>
      </c>
      <c r="E7" s="50">
        <v>8402000</v>
      </c>
      <c r="F7" s="50">
        <v>7591000</v>
      </c>
      <c r="G7" s="17">
        <f t="shared" si="0"/>
        <v>20186000</v>
      </c>
      <c r="H7" s="17">
        <f t="shared" si="1"/>
        <v>663421.02515287965</v>
      </c>
      <c r="I7" s="17">
        <f t="shared" si="2"/>
        <v>19522578.974847119</v>
      </c>
    </row>
    <row r="8" spans="1:9" ht="15.75" customHeight="1" x14ac:dyDescent="0.25">
      <c r="A8" s="5">
        <f t="shared" si="3"/>
        <v>2027</v>
      </c>
      <c r="B8" s="49">
        <v>575987.78099999996</v>
      </c>
      <c r="C8" s="50">
        <v>1439000</v>
      </c>
      <c r="D8" s="50">
        <v>2771000</v>
      </c>
      <c r="E8" s="50">
        <v>8244000</v>
      </c>
      <c r="F8" s="50">
        <v>7724000</v>
      </c>
      <c r="G8" s="17">
        <f t="shared" si="0"/>
        <v>20178000</v>
      </c>
      <c r="H8" s="17">
        <f t="shared" si="1"/>
        <v>660712.02384033473</v>
      </c>
      <c r="I8" s="17">
        <f t="shared" si="2"/>
        <v>19517287.976159666</v>
      </c>
    </row>
    <row r="9" spans="1:9" ht="15.75" customHeight="1" x14ac:dyDescent="0.25">
      <c r="A9" s="5">
        <f t="shared" si="3"/>
        <v>2028</v>
      </c>
      <c r="B9" s="49">
        <v>573357.47340000013</v>
      </c>
      <c r="C9" s="50">
        <v>1442000</v>
      </c>
      <c r="D9" s="50">
        <v>2785000</v>
      </c>
      <c r="E9" s="50">
        <v>8039000</v>
      </c>
      <c r="F9" s="50">
        <v>7857000</v>
      </c>
      <c r="G9" s="17">
        <f t="shared" si="0"/>
        <v>20123000</v>
      </c>
      <c r="H9" s="17">
        <f t="shared" si="1"/>
        <v>657694.81424831646</v>
      </c>
      <c r="I9" s="17">
        <f t="shared" si="2"/>
        <v>19465305.185751684</v>
      </c>
    </row>
    <row r="10" spans="1:9" ht="15.75" customHeight="1" x14ac:dyDescent="0.25">
      <c r="A10" s="5">
        <f t="shared" si="3"/>
        <v>2029</v>
      </c>
      <c r="B10" s="49">
        <v>570478.87980000011</v>
      </c>
      <c r="C10" s="50">
        <v>1444000</v>
      </c>
      <c r="D10" s="50">
        <v>2799000</v>
      </c>
      <c r="E10" s="50">
        <v>7803000</v>
      </c>
      <c r="F10" s="50">
        <v>7985000</v>
      </c>
      <c r="G10" s="17">
        <f t="shared" si="0"/>
        <v>20031000</v>
      </c>
      <c r="H10" s="17">
        <f t="shared" si="1"/>
        <v>654392.79732016602</v>
      </c>
      <c r="I10" s="17">
        <f t="shared" si="2"/>
        <v>19376607.202679835</v>
      </c>
    </row>
    <row r="11" spans="1:9" ht="15.75" customHeight="1" x14ac:dyDescent="0.25">
      <c r="A11" s="5">
        <f t="shared" si="3"/>
        <v>2030</v>
      </c>
      <c r="B11" s="49">
        <v>567309.75</v>
      </c>
      <c r="C11" s="50">
        <v>1445000</v>
      </c>
      <c r="D11" s="50">
        <v>2811000</v>
      </c>
      <c r="E11" s="50">
        <v>7556000</v>
      </c>
      <c r="F11" s="50">
        <v>8102000</v>
      </c>
      <c r="G11" s="17">
        <f t="shared" si="0"/>
        <v>19914000</v>
      </c>
      <c r="H11" s="17">
        <f t="shared" si="1"/>
        <v>650757.50811257982</v>
      </c>
      <c r="I11" s="17">
        <f t="shared" si="2"/>
        <v>19263242.49188742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67</v>
      </c>
      <c r="C5" s="8" t="s">
        <v>145</v>
      </c>
      <c r="D5" s="88">
        <f>IFERROR((MIN(1,1.56*'Breastfeeding distribution'!$C$2)/(1-MIN(1,1.56*'Breastfeeding distribution'!$C$2))) /
('Breastfeeding distribution'!$C$2/(1-'Breastfeeding distribution'!$C$2)), 1.56)</f>
        <v>4.5375079141702663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146</v>
      </c>
      <c r="D6" s="88">
        <f>IFERROR((MIN(1,1.56*'Breastfeeding distribution'!$C$2)/(1-MIN(1,1.56*'Breastfeeding distribution'!$C$2))) /
('Breastfeeding distribution'!$C$2/(1-'Breastfeeding distribution'!$C$2)), 1.56)</f>
        <v>4.5375079141702663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77</v>
      </c>
      <c r="C8" s="8" t="s">
        <v>145</v>
      </c>
      <c r="D8" s="88">
        <v>1</v>
      </c>
      <c r="E8" s="88">
        <f>IFERROR((MIN(1,1.56*'Breastfeeding distribution'!$D$2)/(1-MIN(1,1.56*'Breastfeeding distribution'!$D$2))) /
('Breastfeeding distribution'!$D$2/(1-'Breastfeeding distribution'!$D$2)), 1.56)</f>
        <v>2.2693317934349118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146</v>
      </c>
      <c r="D9" s="88">
        <v>1</v>
      </c>
      <c r="E9" s="88">
        <f>IFERROR((MIN(1,1.56*'Breastfeeding distribution'!$D$2)/(1-MIN(1,1.56*'Breastfeeding distribution'!$D$2))) /
('Breastfeeding distribution'!$D$2/(1-'Breastfeeding distribution'!$D$2)), 1.56)</f>
        <v>2.2693317934349118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146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147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147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IFERROR((MIN(1,1.37*'Breastfeeding distribution'!$C$2)/(1-MIN(1,1.37*'Breastfeeding distribution'!$C$2))) /
('Breastfeeding distribution'!$C$2/(1-'Breastfeeding distribution'!$C$2)), 1.37)</f>
        <v>2.418614583154731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IFERROR((MIN(1,1.37*'Breastfeeding distribution'!$C$2)/(1-MIN(1,1.37*'Breastfeeding distribution'!$C$2))) /
('Breastfeeding distribution'!$C$2/(1-'Breastfeeding distribution'!$C$2)), 1.37)</f>
        <v>2.418614583154731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IFERROR((MIN(1,1.37*'Breastfeeding distribution'!$D$2)/(1-MIN(1,1.37*'Breastfeeding distribution'!$D$2))) /
('Breastfeeding distribution'!$D$2/(1-'Breastfeeding distribution'!$D$2)), 1.37)</f>
        <v>1.726574671833538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IFERROR((MIN(1,1.37*'Breastfeeding distribution'!$D$2)/(1-MIN(1,1.37*'Breastfeeding distribution'!$D$2))) /
('Breastfeeding distribution'!$D$2/(1-'Breastfeeding distribution'!$D$2)), 1.37)</f>
        <v>1.726574671833538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IFERROR((MIN(1,1.77*'Breastfeeding distribution'!$C$2)/(1-MIN(1,1.77*'Breastfeeding distribution'!$C$2))) /
('Breastfeeding distribution'!$C$2/(1-'Breastfeeding distribution'!$C$2)), 1.77)</f>
        <v>18.111780714249537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IFERROR((MIN(1,1.77*'Breastfeeding distribution'!$C$2)/(1-MIN(1,1.77*'Breastfeeding distribution'!$C$2))) /
('Breastfeeding distribution'!$C$2/(1-'Breastfeeding distribution'!$C$2)), 1.77)</f>
        <v>18.111780714249537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IFERROR((MIN(1,1.77*'Breastfeeding distribution'!$D$2)/(1-MIN(1,1.77*'Breastfeeding distribution'!$D$2))) /
('Breastfeeding distribution'!$D$2/(1-'Breastfeeding distribution'!$D$2)), 1.77)</f>
        <v>3.1041077912486745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IFERROR((MIN(1,1.77*'Breastfeeding distribution'!$D$2)/(1-MIN(1,1.77*'Breastfeeding distribution'!$D$2))) /
('Breastfeeding distribution'!$D$2/(1-'Breastfeeding distribution'!$D$2)), 1.77)</f>
        <v>3.1041077912486745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1IUQIPGO8A+lS5t9zmQeExgWOE7Hq9s+LMwGp5ZzK7cP6BPM6Y+s1H4DuDLssE5RfO3cDfuZkDwFgb68EXGf1A==" saltValue="EhqwdEStb6jxlKMHBUWr7g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E28" sqref="E28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E28" sqref="E28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E28" sqref="E28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
/ (SUM('Nutritional status distribution'!$E$4:$E$5)/(1-SUM('Nutritional status distribution'!$E$4:$E$5))))</f>
        <v>0.60684537110640502</v>
      </c>
      <c r="F6" s="90">
        <f>IF(ISBLANK('Nutritional status distribution'!$F$4),0.64, (0.64*SUM('Nutritional status distribution'!$F$4:$F$5)/(1-0.64*SUM('Nutritional status distribution'!$F$4:$F$5)))/ (SUM('Nutritional status distribution'!$F$4:$F$5)/(1-SUM('Nutritional status distribution'!$F$4:$F$5))))</f>
        <v>0.57829662766351819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F7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0.84977670516400794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0.86426054963648624</v>
      </c>
      <c r="F8" s="90">
        <f>IF(ISBLANK('Nutritional status distribution'!$F$4),0.88, (0.88*SUM('Nutritional status distribution'!$F$4:$F$5)/(1-0.88*SUM('Nutritional status distribution'!$F$4:$F$5)))/ (SUM('Nutritional status distribution'!$F$4:$F$5)/(1-SUM('Nutritional status distribution'!$F$4:$F$5))))</f>
        <v>0.84977670516400794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distribution'!E$4),0.44, (0.44*SUM('Nutritional status distribution'!E$4:E$5)/(1-0.44*SUM('Nutritional status distribution'!E$4:E$5)))/ (SUM('Nutritional status distribution'!E$4:E$5)/(1-SUM('Nutritional status distribution'!E$4:E$5))))</f>
        <v>0.40553487468969224</v>
      </c>
      <c r="F29" s="90">
        <f>IF(ISBLANK('Nutritional status distribution'!F$4),0.44, (0.44*SUM('Nutritional status distribution'!F$4:F$5)/(1-0.44*SUM('Nutritional status distribution'!F$4:F$5)))/ (SUM('Nutritional status distribution'!F$4:F$5)/(1-SUM('Nutritional status distribution'!F$4:F$5))))</f>
        <v>0.377366446817888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0.83108099734609786</v>
      </c>
      <c r="F30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0.81381945799302158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distribution'!E$4),0.85, (0.85*SUM('Nutritional status distribution'!E$4:E$5)/(1-0.85*SUM('Nutritional status distribution'!E$4:E$5)))/ (SUM('Nutritional status distribution'!E$4:E$5)/(1-SUM('Nutritional status distribution'!E$4:E$5))))</f>
        <v>0.83108099734609786</v>
      </c>
      <c r="F31" s="90">
        <f>IF(ISBLANK('Nutritional status distribution'!F$4),0.85, (0.85*SUM('Nutritional status distribution'!F$4:F$5)/(1-0.85*SUM('Nutritional status distribution'!F$4:F$5)))/ (SUM('Nutritional status distribution'!F$4:F$5)/(1-SUM('Nutritional status distribution'!F$4:F$5))))</f>
        <v>0.81381945799302158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distribution'!E$4),0.92, (0.92*SUM('Nutritional status distribution'!E$4:E$5)/(1-0.92*SUM('Nutritional status distribution'!E$4:E$5)))/ (SUM('Nutritional status distribution'!E$4:E$5)/(1-SUM('Nutritional status distribution'!E$4:E$5))))</f>
        <v>0.90896428608322555</v>
      </c>
      <c r="F52" s="90">
        <f>IF(ISBLANK('Nutritional status distribution'!F$4),0.92, (0.92*SUM('Nutritional status distribution'!F$4:F$5)/(1-0.92*SUM('Nutritional status distribution'!F$4:F$5)))/ (SUM('Nutritional status distribution'!F$4:F$5)/(1-SUM('Nutritional status distribution'!F$4:F$5))))</f>
        <v>0.89869133309827343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0.89773815505903243</v>
      </c>
      <c r="F53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0.88635676953767151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distribution'!E$4),0.91, (0.91*SUM('Nutritional status distribution'!E$4:E$5)/(1-0.91*SUM('Nutritional status distribution'!E$4:E$5)))/ (SUM('Nutritional status distribution'!E$4:E$5)/(1-SUM('Nutritional status distribution'!E$4:E$5))))</f>
        <v>0.89773815505903243</v>
      </c>
      <c r="F54" s="90">
        <f>IF(ISBLANK('Nutritional status distribution'!F$4),0.91, (0.91*SUM('Nutritional status distribution'!F$4:F$5)/(1-0.91*SUM('Nutritional status distribution'!F$4:F$5)))/ (SUM('Nutritional status distribution'!F$4:F$5)/(1-SUM('Nutritional status distribution'!F$4:F$5))))</f>
        <v>0.88635676953767151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uxH3qxfpHv3MxEVFpMF959vuuHVMbjUY0YDJlIXIgHOAA25UaRTm/IIjRx7RzEUfWaTP3eP7cZpYIm+m6J8PbA==" saltValue="wm1A0TwV/0DyOIoqtNvf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Evf/7Nn9p0s2t120JFgJzNA1BIMAO9h8EmTziKGX5ZA7K3Y+rQ77oXfzNqKwsdbYQwCY96ujjsdxuDmqt1luA==" saltValue="pZcegXbvW/wKpwHEQP8p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0.69827317473382022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0.71307310257745293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0.71307310257745293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0.64578483959113453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0.64578483959113453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0.64578483959113453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0.64578483959113453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0.66268311488049336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0.66268311488049336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0.66268311488049336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0.66268311488049336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0.78260652559062549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0.79448730925062017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0.79448730925062017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0.73931178310740375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0.73931178310740375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0.73931178310740375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0.73931178310740375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0.75345167652859957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0.75345167652859957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0.75345167652859957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0.75345167652859957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176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178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179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180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181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184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185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188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189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192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173</v>
      </c>
      <c r="C42" s="90">
        <f t="shared" ref="C42:D44" si="9">IF(C19=1,1,C19*0.9)</f>
        <v>1</v>
      </c>
      <c r="D42" s="90">
        <f t="shared" si="9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0.51373888551638602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0.53151753457568718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0.53151753457568718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0.45423913817241313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0.45423913817241313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0.45423913817241313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0.45423913817241313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0.47281562299440727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0.47281562299440727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0.47281562299440727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0.47281562299440727</v>
      </c>
    </row>
    <row r="43" spans="1:15" x14ac:dyDescent="0.25">
      <c r="B43" s="5" t="s">
        <v>174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182</v>
      </c>
      <c r="C44" s="90">
        <f t="shared" si="9"/>
        <v>1</v>
      </c>
      <c r="D44" s="90">
        <f t="shared" si="9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0.67741656755909385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0.69278943689427064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0.69278943689427064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0.62325756624387796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0.62325756624387796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0.62325756624387796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0.62325756624387796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0.64063248682319107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0.64063248682319107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0.64063248682319107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0.64063248682319107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175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176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177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178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179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180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181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184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185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188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189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192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173</v>
      </c>
      <c r="C65" s="90">
        <f t="shared" ref="C65:D67" si="20">IF(C19=1,1,C19*1.05)</f>
        <v>1</v>
      </c>
      <c r="D65" s="90">
        <f t="shared" si="2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0.9667769989564875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0.96899147218663761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0.96899147218663761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0.95820155211569824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0.95820155211569824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0.95820155211569824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0.95820155211569824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0.96109353115111262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0.96109353115111262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0.96109353115111262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0.96109353115111262</v>
      </c>
    </row>
    <row r="66" spans="2:15" x14ac:dyDescent="0.25">
      <c r="B66" s="5" t="s">
        <v>174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182</v>
      </c>
      <c r="C67" s="90">
        <f t="shared" si="20"/>
        <v>1</v>
      </c>
      <c r="D67" s="90">
        <f t="shared" si="2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0.91189324833851226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0.91745363426014137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0.91745363426014137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0.89075217130059559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0.89075217130059559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0.89075217130059559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0.89075217130059559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0.89781320253423269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0.89781320253423269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0.89781320253423269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0.89781320253423269</v>
      </c>
    </row>
  </sheetData>
  <sheetProtection algorithmName="SHA-512" hashValue="QTNrTNcX0LQnvnw9OcFIuF8iiKsb7nBsadUCrO1kCxqB4CvEkER3v8YCwNBmR8txM/1IAuOQ/zC/vA8HLWjOhA==" saltValue="f5+QlQPEjGE24L/HhPaCM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ht="13.25" customHeight="1" x14ac:dyDescent="0.25">
      <c r="B3" s="11" t="s">
        <v>157</v>
      </c>
      <c r="C3" s="90">
        <v>1</v>
      </c>
      <c r="D3" s="90">
        <f>IF(ISBLANK('Nutritional status distribution'!D$11),(1/1.33),((1/1.33)*'Nutritional status distribution'!D$11/(1-(1/1.33)*'Nutritional status distribution'!D$11))
/ ('Nutritional status distribution'!D$11/(1-'Nutritional status distribution'!D$11)))</f>
        <v>0.74864919496435545</v>
      </c>
      <c r="E3" s="90">
        <f>IF(ISBLANK('Nutritional status distribution'!E$11),(1/1.33),((1/1.33)*'Nutritional status distribution'!E$11/(1-(1/1.33)*'Nutritional status distribution'!E$11))
/ ('Nutritional status distribution'!E$11/(1-'Nutritional status distribution'!E$11)))</f>
        <v>0.74995329517810427</v>
      </c>
      <c r="F3" s="90">
        <f>IF(ISBLANK('Nutritional status distribution'!F$11),(1/1.33),((1/1.33)*'Nutritional status distribution'!F$11/(1-(1/1.33)*'Nutritional status distribution'!F$11))
/ ('Nutritional status distribution'!F$11/(1-'Nutritional status distribution'!F$11)))</f>
        <v>0.7505678072955031</v>
      </c>
      <c r="G3" s="90">
        <f>IF(ISBLANK('Nutritional status distribution'!G$11),(1/1.33),((1/1.33)*'Nutritional status distribution'!G$11/(1-(1/1.33)*'Nutritional status distribution'!G$11))
/ ('Nutritional status distribution'!G$11/(1-'Nutritional status distribution'!G$11)))</f>
        <v>0.7510414671906076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158</v>
      </c>
      <c r="C5" s="90">
        <v>1</v>
      </c>
      <c r="D5" s="90">
        <f>IF(ISBLANK('Nutritional status distribution'!D$10),(1/1.33),((1/1.33)*'Nutritional status distribution'!D$10/(1-(1/1.33)*'Nutritional status distribution'!D$10))
/ ('Nutritional status distribution'!D$10/(1-'Nutritional status distribution'!D$10)))</f>
        <v>0.74638917585841058</v>
      </c>
      <c r="E5" s="90">
        <f>IF(ISBLANK('Nutritional status distribution'!E$10),(1/1.33),((1/1.33)*'Nutritional status distribution'!E$10/(1-(1/1.33)*'Nutritional status distribution'!E$10))
/ ('Nutritional status distribution'!E$10/(1-'Nutritional status distribution'!E$10)))</f>
        <v>0.74677150328194242</v>
      </c>
      <c r="F5" s="90">
        <f>IF(ISBLANK('Nutritional status distribution'!F$10),(1/1.33),((1/1.33)*'Nutritional status distribution'!F$10/(1-(1/1.33)*'Nutritional status distribution'!F$10))
/ ('Nutritional status distribution'!F$10/(1-'Nutritional status distribution'!F$10)))</f>
        <v>0.74856119851653879</v>
      </c>
      <c r="G5" s="90">
        <f>IF(ISBLANK('Nutritional status distribution'!G$10),(1/1.33),((1/1.33)*'Nutritional status distribution'!G$10/(1-(1/1.33)*'Nutritional status distribution'!G$10))
/ ('Nutritional status distribution'!G$10/(1-'Nutritional status distribution'!G$10)))</f>
        <v>0.74942427586389926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ht="13.25" customHeight="1" x14ac:dyDescent="0.25">
      <c r="B10" s="11" t="s">
        <v>157</v>
      </c>
      <c r="C10" s="90">
        <v>1</v>
      </c>
      <c r="D10" s="90">
        <f>IF(ISBLANK('Nutritional status distribution'!D$11),(1/1.54),((1/1.54)*'Nutritional status distribution'!D$11/(1-(1/1.54)*'Nutritional status distribution'!D$11))
/ ('Nutritional status distribution'!D$11/(1-'Nutritional status distribution'!D$11)))</f>
        <v>0.64541477160337113</v>
      </c>
      <c r="E10" s="90">
        <f>IF(ISBLANK('Nutritional status distribution'!E$11),(1/1.54),((1/1.54)*'Nutritional status distribution'!E$11/(1-(1/1.54)*'Nutritional status distribution'!E$11))
/ ('Nutritional status distribution'!E$11/(1-'Nutritional status distribution'!E$11)))</f>
        <v>0.64700193883818913</v>
      </c>
      <c r="F10" s="90">
        <f>IF(ISBLANK('Nutritional status distribution'!F$11),(1/1.54),((1/1.54)*'Nutritional status distribution'!F$11/(1-(1/1.54)*'Nutritional status distribution'!F$11))
/ ('Nutritional status distribution'!F$11/(1-'Nutritional status distribution'!F$11)))</f>
        <v>0.64775062454608012</v>
      </c>
      <c r="G10" s="90">
        <f>IF(ISBLANK('Nutritional status distribution'!G$11),(1/1.54),((1/1.54)*'Nutritional status distribution'!G$11/(1-(1/1.54)*'Nutritional status distribution'!G$11))
/ ('Nutritional status distribution'!G$11/(1-'Nutritional status distribution'!G$11)))</f>
        <v>0.64832804908547426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158</v>
      </c>
      <c r="C12" s="90">
        <v>1</v>
      </c>
      <c r="D12" s="90">
        <f>IF(ISBLANK('Nutritional status distribution'!D$10),(1/1.54),((1/1.54)*'Nutritional status distribution'!D$10/(1-(1/1.54)*'Nutritional status distribution'!D$10))
/ ('Nutritional status distribution'!D$10/(1-'Nutritional status distribution'!D$10)))</f>
        <v>0.64266956603559033</v>
      </c>
      <c r="E12" s="90">
        <f>IF(ISBLANK('Nutritional status distribution'!E$10),(1/1.54),((1/1.54)*'Nutritional status distribution'!E$10/(1-(1/1.54)*'Nutritional status distribution'!E$10))
/ ('Nutritional status distribution'!E$10/(1-'Nutritional status distribution'!E$10)))</f>
        <v>0.6431334945463888</v>
      </c>
      <c r="F12" s="90">
        <f>IF(ISBLANK('Nutritional status distribution'!F$10),(1/1.54),((1/1.54)*'Nutritional status distribution'!F$10/(1-(1/1.54)*'Nutritional status distribution'!F$10))
/ ('Nutritional status distribution'!F$10/(1-'Nutritional status distribution'!F$10)))</f>
        <v>0.64530775650043393</v>
      </c>
      <c r="G12" s="90">
        <f>IF(ISBLANK('Nutritional status distribution'!G$10),(1/1.54),((1/1.54)*'Nutritional status distribution'!G$10/(1-(1/1.54)*'Nutritional status distribution'!G$10))
/ ('Nutritional status distribution'!G$10/(1-'Nutritional status distribution'!G$10)))</f>
        <v>0.64635781709269713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ht="13.25" customHeight="1" x14ac:dyDescent="0.25">
      <c r="B17" s="11" t="s">
        <v>157</v>
      </c>
      <c r="C17" s="90">
        <v>1</v>
      </c>
      <c r="D17" s="90">
        <f>IF(ISBLANK('Nutritional status distribution'!D$11),(1/1.16),((1/1.16)*'Nutritional status distribution'!D$11/(1-(1/1.16)*'Nutritional status distribution'!D$11))
/ ('Nutritional status distribution'!D$11/(1-'Nutritional status distribution'!D$11)))</f>
        <v>0.86000599447304527</v>
      </c>
      <c r="E17" s="90">
        <f>IF(ISBLANK('Nutritional status distribution'!E$11),(1/1.16),((1/1.16)*'Nutritional status distribution'!E$11/(1-(1/1.16)*'Nutritional status distribution'!E$11))
/ ('Nutritional status distribution'!E$11/(1-'Nutritional status distribution'!E$11)))</f>
        <v>0.86083972981230927</v>
      </c>
      <c r="F17" s="90">
        <f>IF(ISBLANK('Nutritional status distribution'!F$11),(1/1.16),((1/1.16)*'Nutritional status distribution'!F$11/(1-(1/1.16)*'Nutritional status distribution'!F$11))
/ ('Nutritional status distribution'!F$11/(1-'Nutritional status distribution'!F$11)))</f>
        <v>0.86123215319848934</v>
      </c>
      <c r="G17" s="90">
        <f>IF(ISBLANK('Nutritional status distribution'!G$11),(1/1.16),((1/1.16)*'Nutritional status distribution'!G$11/(1-(1/1.16)*'Nutritional status distribution'!G$11))
/ ('Nutritional status distribution'!G$11/(1-'Nutritional status distribution'!G$11)))</f>
        <v>0.86153443477858238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158</v>
      </c>
      <c r="C19" s="90">
        <v>1</v>
      </c>
      <c r="D19" s="90">
        <f>IF(ISBLANK('Nutritional status distribution'!D$10),(1/1.16),((1/1.16)*'Nutritional status distribution'!D$10/(1-(1/1.16)*'Nutritional status distribution'!D$10))
/ ('Nutritional status distribution'!D$10/(1-'Nutritional status distribution'!D$10)))</f>
        <v>0.85855807098755077</v>
      </c>
      <c r="E19" s="90">
        <f>IF(ISBLANK('Nutritional status distribution'!E$10),(1/1.16),((1/1.16)*'Nutritional status distribution'!E$10/(1-(1/1.16)*'Nutritional status distribution'!E$10))
/ ('Nutritional status distribution'!E$10/(1-'Nutritional status distribution'!E$10)))</f>
        <v>0.85880328867778466</v>
      </c>
      <c r="F19" s="90">
        <f>IF(ISBLANK('Nutritional status distribution'!F$10),(1/1.16),((1/1.16)*'Nutritional status distribution'!F$10/(1-(1/1.16)*'Nutritional status distribution'!F$10))
/ ('Nutritional status distribution'!F$10/(1-'Nutritional status distribution'!F$10)))</f>
        <v>0.85994969037145486</v>
      </c>
      <c r="G19" s="90">
        <f>IF(ISBLANK('Nutritional status distribution'!G$10),(1/1.16),((1/1.16)*'Nutritional status distribution'!G$10/(1-(1/1.16)*'Nutritional status distribution'!G$10))
/ ('Nutritional status distribution'!G$10/(1-'Nutritional status distribution'!G$10)))</f>
        <v>0.8605016730576821</v>
      </c>
    </row>
  </sheetData>
  <sheetProtection algorithmName="SHA-512" hashValue="ZIjv20oIFeX8hEAP3JXu7+FjYQdIWvRgXIH4IkxRsMm14MAW5JMg2x9QOPJ7rc+IAMFEDvKO0XCydnz4Atw3VA==" saltValue="eIHIWivrA2mRyU/FI0KAAQ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ht="13.25" customHeight="1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339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340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340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340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340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340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339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340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82</v>
      </c>
      <c r="C45" s="5" t="s">
        <v>338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190</v>
      </c>
      <c r="B48" s="5" t="s">
        <v>81</v>
      </c>
      <c r="C48" s="5" t="s">
        <v>338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339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183</v>
      </c>
      <c r="B52" s="5" t="s">
        <v>72</v>
      </c>
      <c r="C52" s="5" t="s">
        <v>338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339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ht="13.25" customHeight="1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339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340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191</v>
      </c>
      <c r="B60" s="5" t="s">
        <v>205</v>
      </c>
      <c r="C60" s="5" t="s">
        <v>338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340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204</v>
      </c>
      <c r="C62" s="5" t="s">
        <v>338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340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184</v>
      </c>
      <c r="B64" s="5" t="s">
        <v>205</v>
      </c>
      <c r="C64" s="5" t="s">
        <v>338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340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204</v>
      </c>
      <c r="C66" s="5" t="s">
        <v>338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340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192</v>
      </c>
      <c r="B68" s="5" t="s">
        <v>205</v>
      </c>
      <c r="C68" s="5" t="s">
        <v>338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340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339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339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339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340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339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340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339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340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339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340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339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340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339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340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82</v>
      </c>
      <c r="C100" s="5" t="s">
        <v>338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339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340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339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339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339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339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340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340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204</v>
      </c>
      <c r="C117" s="5" t="s">
        <v>338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340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340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204</v>
      </c>
      <c r="C121" s="5" t="s">
        <v>338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340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340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340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340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204</v>
      </c>
      <c r="C129" s="5" t="s">
        <v>338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340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339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339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339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339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340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339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340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339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340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339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340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339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340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339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340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82</v>
      </c>
      <c r="C155" s="5" t="s">
        <v>338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339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340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339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339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339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gIF3gzcRwMevsVP9JM+eFJliWIfkjL6RYnVy29HH1zFwKTB/eJc1NVFGROY84dwrfqcI+B8KpOZ1waT1qDgCXQ==" saltValue="0Itsi1W8Rg+oXl6coWpoc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E28" sqref="E28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ht="13.25" customHeight="1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339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339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ht="13.25" customHeight="1" x14ac:dyDescent="0.25">
      <c r="A11" s="3" t="s">
        <v>168</v>
      </c>
      <c r="B11" s="8" t="s">
        <v>94</v>
      </c>
      <c r="C11" s="3" t="s">
        <v>338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339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187</v>
      </c>
      <c r="B13" s="8" t="s">
        <v>94</v>
      </c>
      <c r="C13" s="3" t="s">
        <v>338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339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ht="13.25" customHeight="1" x14ac:dyDescent="0.25">
      <c r="A20" s="3" t="s">
        <v>168</v>
      </c>
      <c r="B20" s="8" t="s">
        <v>94</v>
      </c>
      <c r="C20" s="3" t="s">
        <v>338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339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187</v>
      </c>
      <c r="B22" s="8" t="s">
        <v>94</v>
      </c>
      <c r="C22" s="3" t="s">
        <v>338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339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186</v>
      </c>
      <c r="B24" s="8" t="s">
        <v>94</v>
      </c>
      <c r="C24" s="3" t="s">
        <v>338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339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SSCu+FR+SN+siPEoAiap+3g3Z0SGqFtJklZqGSbEJvGKfBY2J7BHBpfevFvAYPx8Hf15tBeGKZdJ4ehQEpyLRg==" saltValue="A0PmMaoo+OfazXy7x4UxVw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0.16033583546905689</v>
      </c>
    </row>
    <row r="5" spans="1:8" ht="15.75" customHeight="1" x14ac:dyDescent="0.25">
      <c r="B5" s="19" t="s">
        <v>70</v>
      </c>
      <c r="C5" s="101">
        <v>6.719680850372535E-2</v>
      </c>
    </row>
    <row r="6" spans="1:8" ht="15.75" customHeight="1" x14ac:dyDescent="0.25">
      <c r="B6" s="19" t="s">
        <v>71</v>
      </c>
      <c r="C6" s="101">
        <v>0.14227136169855481</v>
      </c>
    </row>
    <row r="7" spans="1:8" ht="15.75" customHeight="1" x14ac:dyDescent="0.25">
      <c r="B7" s="19" t="s">
        <v>72</v>
      </c>
      <c r="C7" s="101">
        <v>0.3964909147192377</v>
      </c>
    </row>
    <row r="8" spans="1:8" ht="15.75" customHeight="1" x14ac:dyDescent="0.25">
      <c r="B8" s="19" t="s">
        <v>73</v>
      </c>
      <c r="C8" s="101">
        <v>1.031272190442014E-4</v>
      </c>
    </row>
    <row r="9" spans="1:8" ht="15.75" customHeight="1" x14ac:dyDescent="0.25">
      <c r="B9" s="19" t="s">
        <v>74</v>
      </c>
      <c r="C9" s="101">
        <v>0.1747284136599136</v>
      </c>
    </row>
    <row r="10" spans="1:8" ht="15.75" customHeight="1" x14ac:dyDescent="0.25">
      <c r="B10" s="19" t="s">
        <v>75</v>
      </c>
      <c r="C10" s="101">
        <v>5.887353873046753E-2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0.11064800630783179</v>
      </c>
      <c r="D14" s="55">
        <v>0.11064800630783179</v>
      </c>
      <c r="E14" s="55">
        <v>0.11064800630783179</v>
      </c>
      <c r="F14" s="55">
        <v>0.11064800630783179</v>
      </c>
    </row>
    <row r="15" spans="1:8" ht="15.75" customHeight="1" x14ac:dyDescent="0.25">
      <c r="B15" s="19" t="s">
        <v>82</v>
      </c>
      <c r="C15" s="101">
        <v>0.1617527848402063</v>
      </c>
      <c r="D15" s="101">
        <v>0.1617527848402063</v>
      </c>
      <c r="E15" s="101">
        <v>0.1617527848402063</v>
      </c>
      <c r="F15" s="101">
        <v>0.1617527848402063</v>
      </c>
    </row>
    <row r="16" spans="1:8" ht="15.75" customHeight="1" x14ac:dyDescent="0.25">
      <c r="B16" s="19" t="s">
        <v>83</v>
      </c>
      <c r="C16" s="101">
        <v>3.0981621044106289E-2</v>
      </c>
      <c r="D16" s="101">
        <v>3.0981621044106289E-2</v>
      </c>
      <c r="E16" s="101">
        <v>3.0981621044106289E-2</v>
      </c>
      <c r="F16" s="101">
        <v>3.0981621044106289E-2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2.207397038865232E-2</v>
      </c>
      <c r="D18" s="101">
        <v>2.207397038865232E-2</v>
      </c>
      <c r="E18" s="101">
        <v>2.207397038865232E-2</v>
      </c>
      <c r="F18" s="101">
        <v>2.207397038865232E-2</v>
      </c>
    </row>
    <row r="19" spans="1:8" ht="15.75" customHeight="1" x14ac:dyDescent="0.25">
      <c r="B19" s="19" t="s">
        <v>86</v>
      </c>
      <c r="C19" s="101">
        <v>4.7261574341324417E-3</v>
      </c>
      <c r="D19" s="101">
        <v>4.7261574341324417E-3</v>
      </c>
      <c r="E19" s="101">
        <v>4.7261574341324417E-3</v>
      </c>
      <c r="F19" s="101">
        <v>4.7261574341324417E-3</v>
      </c>
    </row>
    <row r="20" spans="1:8" ht="15.75" customHeight="1" x14ac:dyDescent="0.25">
      <c r="B20" s="19" t="s">
        <v>87</v>
      </c>
      <c r="C20" s="101">
        <v>2.590288874566626E-2</v>
      </c>
      <c r="D20" s="101">
        <v>2.590288874566626E-2</v>
      </c>
      <c r="E20" s="101">
        <v>2.590288874566626E-2</v>
      </c>
      <c r="F20" s="101">
        <v>2.590288874566626E-2</v>
      </c>
    </row>
    <row r="21" spans="1:8" ht="15.75" customHeight="1" x14ac:dyDescent="0.25">
      <c r="B21" s="19" t="s">
        <v>88</v>
      </c>
      <c r="C21" s="101">
        <v>0.1940491539531482</v>
      </c>
      <c r="D21" s="101">
        <v>0.1940491539531482</v>
      </c>
      <c r="E21" s="101">
        <v>0.1940491539531482</v>
      </c>
      <c r="F21" s="101">
        <v>0.1940491539531482</v>
      </c>
    </row>
    <row r="22" spans="1:8" ht="15.75" customHeight="1" x14ac:dyDescent="0.25">
      <c r="B22" s="19" t="s">
        <v>89</v>
      </c>
      <c r="C22" s="101">
        <v>0.44986541728625629</v>
      </c>
      <c r="D22" s="101">
        <v>0.44986541728625629</v>
      </c>
      <c r="E22" s="101">
        <v>0.44986541728625629</v>
      </c>
      <c r="F22" s="101">
        <v>0.44986541728625629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5.6534050000000002E-2</v>
      </c>
    </row>
    <row r="27" spans="1:8" ht="15.75" customHeight="1" x14ac:dyDescent="0.25">
      <c r="B27" s="19" t="s">
        <v>92</v>
      </c>
      <c r="C27" s="101">
        <v>3.5322311000000002E-2</v>
      </c>
    </row>
    <row r="28" spans="1:8" ht="15.75" customHeight="1" x14ac:dyDescent="0.25">
      <c r="B28" s="19" t="s">
        <v>93</v>
      </c>
      <c r="C28" s="101">
        <v>4.2593103E-2</v>
      </c>
    </row>
    <row r="29" spans="1:8" ht="15.75" customHeight="1" x14ac:dyDescent="0.25">
      <c r="B29" s="19" t="s">
        <v>94</v>
      </c>
      <c r="C29" s="101">
        <v>0.27419058800000001</v>
      </c>
    </row>
    <row r="30" spans="1:8" ht="15.75" customHeight="1" x14ac:dyDescent="0.25">
      <c r="B30" s="19" t="s">
        <v>95</v>
      </c>
      <c r="C30" s="101">
        <v>6.2699299999999999E-2</v>
      </c>
    </row>
    <row r="31" spans="1:8" ht="15.75" customHeight="1" x14ac:dyDescent="0.25">
      <c r="B31" s="19" t="s">
        <v>96</v>
      </c>
      <c r="C31" s="101">
        <v>0.140173941</v>
      </c>
    </row>
    <row r="32" spans="1:8" ht="15.75" customHeight="1" x14ac:dyDescent="0.25">
      <c r="B32" s="19" t="s">
        <v>97</v>
      </c>
      <c r="C32" s="101">
        <v>2.4544165999999999E-2</v>
      </c>
    </row>
    <row r="33" spans="2:3" ht="15.75" customHeight="1" x14ac:dyDescent="0.25">
      <c r="B33" s="19" t="s">
        <v>98</v>
      </c>
      <c r="C33" s="101">
        <v>0.119318915</v>
      </c>
    </row>
    <row r="34" spans="2:3" ht="15.75" customHeight="1" x14ac:dyDescent="0.25">
      <c r="B34" s="19" t="s">
        <v>99</v>
      </c>
      <c r="C34" s="101">
        <v>0.24462362800000001</v>
      </c>
    </row>
    <row r="35" spans="2:3" ht="15.75" customHeight="1" x14ac:dyDescent="0.25">
      <c r="B35" s="27" t="s">
        <v>30</v>
      </c>
      <c r="C35" s="48">
        <f>SUM(C26:C34)</f>
        <v>1.0000000019999999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0.57407130512757754</v>
      </c>
      <c r="D2" s="52">
        <f>IFERROR(1-_xlfn.NORM.DIST(_xlfn.NORM.INV(SUM(D4:D5), 0, 1) + 1, 0, 1, TRUE), "")</f>
        <v>0.57407130512757754</v>
      </c>
      <c r="E2" s="52">
        <f>IFERROR(1-_xlfn.NORM.DIST(_xlfn.NORM.INV(SUM(E4:E5), 0, 1) + 1, 0, 1, TRUE), "")</f>
        <v>0.54700007270029372</v>
      </c>
      <c r="F2" s="52">
        <f>IFERROR(1-_xlfn.NORM.DIST(_xlfn.NORM.INV(SUM(F4:F5), 0, 1) + 1, 0, 1, TRUE), "")</f>
        <v>0.39873837196518114</v>
      </c>
      <c r="G2" s="52">
        <f>IFERROR(1-_xlfn.NORM.DIST(_xlfn.NORM.INV(SUM(G4:G5), 0, 1) + 1, 0, 1, TRUE), "")</f>
        <v>0.40761746028673129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0.30826538590222607</v>
      </c>
      <c r="D3" s="52">
        <f>IFERROR(_xlfn.NORM.DIST(_xlfn.NORM.INV(SUM(D4:D5), 0, 1) + 1, 0, 1, TRUE) - SUM(D4:D5), "")</f>
        <v>0.30826538590222607</v>
      </c>
      <c r="E3" s="52">
        <f>IFERROR(_xlfn.NORM.DIST(_xlfn.NORM.INV(SUM(E4:E5), 0, 1) + 1, 0, 1, TRUE) - SUM(E4:E5), "")</f>
        <v>0.32123470354530753</v>
      </c>
      <c r="F3" s="52">
        <f>IFERROR(_xlfn.NORM.DIST(_xlfn.NORM.INV(SUM(F4:F5), 0, 1) + 1, 0, 1, TRUE) - SUM(F4:F5), "")</f>
        <v>0.37263761030032166</v>
      </c>
      <c r="G3" s="52">
        <f>IFERROR(_xlfn.NORM.DIST(_xlfn.NORM.INV(SUM(G4:G5), 0, 1) + 1, 0, 1, TRUE) - SUM(G4:G5), "")</f>
        <v>0.37064015583398641</v>
      </c>
    </row>
    <row r="4" spans="1:15" ht="15.75" customHeight="1" x14ac:dyDescent="0.25">
      <c r="B4" s="5" t="s">
        <v>104</v>
      </c>
      <c r="C4" s="45">
        <v>7.7066712124662401E-2</v>
      </c>
      <c r="D4" s="53">
        <v>7.7066712124662401E-2</v>
      </c>
      <c r="E4" s="53">
        <v>9.6537371135483094E-2</v>
      </c>
      <c r="F4" s="53">
        <v>0.154515657154602</v>
      </c>
      <c r="G4" s="53">
        <v>0.1536915783434</v>
      </c>
    </row>
    <row r="5" spans="1:15" ht="15.75" customHeight="1" x14ac:dyDescent="0.25">
      <c r="B5" s="5" t="s">
        <v>105</v>
      </c>
      <c r="C5" s="45">
        <v>4.0596596845534003E-2</v>
      </c>
      <c r="D5" s="53">
        <v>4.0596596845534003E-2</v>
      </c>
      <c r="E5" s="53">
        <v>3.52278526189157E-2</v>
      </c>
      <c r="F5" s="53">
        <v>7.4108360579895199E-2</v>
      </c>
      <c r="G5" s="53">
        <v>6.8050805535882303E-2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0.75367707358044445</v>
      </c>
      <c r="D8" s="52">
        <f>IFERROR(1-_xlfn.NORM.DIST(_xlfn.NORM.INV(SUM(D10:D11), 0, 1) + 1, 0, 1, TRUE), "")</f>
        <v>0.75367707358044445</v>
      </c>
      <c r="E8" s="52">
        <f>IFERROR(1-_xlfn.NORM.DIST(_xlfn.NORM.INV(SUM(E10:E11), 0, 1) + 1, 0, 1, TRUE), "")</f>
        <v>0.78397198700179249</v>
      </c>
      <c r="F8" s="52">
        <f>IFERROR(1-_xlfn.NORM.DIST(_xlfn.NORM.INV(SUM(F10:F11), 0, 1) + 1, 0, 1, TRUE), "")</f>
        <v>0.83341473595774673</v>
      </c>
      <c r="G8" s="52">
        <f>IFERROR(1-_xlfn.NORM.DIST(_xlfn.NORM.INV(SUM(G10:G11), 0, 1) + 1, 0, 1, TRUE), "")</f>
        <v>0.86609209058222447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0.20043529748177974</v>
      </c>
      <c r="D9" s="52">
        <f>IFERROR(_xlfn.NORM.DIST(_xlfn.NORM.INV(SUM(D10:D11), 0, 1) + 1, 0, 1, TRUE) - SUM(D10:D11), "")</f>
        <v>0.20043529748177974</v>
      </c>
      <c r="E9" s="52">
        <f>IFERROR(_xlfn.NORM.DIST(_xlfn.NORM.INV(SUM(E10:E11), 0, 1) + 1, 0, 1, TRUE) - SUM(E10:E11), "")</f>
        <v>0.17895232611166867</v>
      </c>
      <c r="F9" s="52">
        <f>IFERROR(_xlfn.NORM.DIST(_xlfn.NORM.INV(SUM(F10:F11), 0, 1) + 1, 0, 1, TRUE) - SUM(F10:F11), "")</f>
        <v>0.14203671080165478</v>
      </c>
      <c r="G9" s="52">
        <f>IFERROR(_xlfn.NORM.DIST(_xlfn.NORM.INV(SUM(G10:G11), 0, 1) + 1, 0, 1, TRUE) - SUM(G10:G11), "")</f>
        <v>0.11639702078135408</v>
      </c>
    </row>
    <row r="10" spans="1:15" ht="15.75" customHeight="1" x14ac:dyDescent="0.25">
      <c r="B10" s="5" t="s">
        <v>109</v>
      </c>
      <c r="C10" s="45">
        <v>2.8793708364106298E-2</v>
      </c>
      <c r="D10" s="53">
        <v>2.8793708364106298E-2</v>
      </c>
      <c r="E10" s="53">
        <v>2.6829131488233401E-2</v>
      </c>
      <c r="F10" s="53">
        <v>1.7553400457541501E-2</v>
      </c>
      <c r="G10" s="53">
        <v>1.30328391238734E-2</v>
      </c>
    </row>
    <row r="11" spans="1:15" ht="15.75" customHeight="1" x14ac:dyDescent="0.25">
      <c r="B11" s="5" t="s">
        <v>110</v>
      </c>
      <c r="C11" s="45">
        <v>1.7093920573669499E-2</v>
      </c>
      <c r="D11" s="53">
        <v>1.7093920573669499E-2</v>
      </c>
      <c r="E11" s="53">
        <v>1.02465553983054E-2</v>
      </c>
      <c r="F11" s="53">
        <v>6.9951527830569614E-3</v>
      </c>
      <c r="G11" s="53">
        <v>4.4780495125480201E-3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0.10628020924999999</v>
      </c>
      <c r="D14" s="54">
        <v>0.10001147951100001</v>
      </c>
      <c r="E14" s="54">
        <v>0.10001147951100001</v>
      </c>
      <c r="F14" s="54">
        <v>3.3530111506E-2</v>
      </c>
      <c r="G14" s="54">
        <v>3.3530111506E-2</v>
      </c>
      <c r="H14" s="45">
        <v>0.29099999999999998</v>
      </c>
      <c r="I14" s="55">
        <v>0.29099999999999998</v>
      </c>
      <c r="J14" s="55">
        <v>0.29099999999999998</v>
      </c>
      <c r="K14" s="55">
        <v>0.29099999999999998</v>
      </c>
      <c r="L14" s="45">
        <v>0.23599999999999999</v>
      </c>
      <c r="M14" s="55">
        <v>0.23599999999999999</v>
      </c>
      <c r="N14" s="55">
        <v>0.23599999999999999</v>
      </c>
      <c r="O14" s="55">
        <v>0.23599999999999999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6.1654956149482243E-2</v>
      </c>
      <c r="D15" s="52">
        <f t="shared" si="0"/>
        <v>5.8018359459482791E-2</v>
      </c>
      <c r="E15" s="52">
        <f t="shared" si="0"/>
        <v>5.8018359459482791E-2</v>
      </c>
      <c r="F15" s="52">
        <f t="shared" si="0"/>
        <v>1.9451387696526202E-2</v>
      </c>
      <c r="G15" s="52">
        <f t="shared" si="0"/>
        <v>1.9451387696526202E-2</v>
      </c>
      <c r="H15" s="52">
        <f t="shared" si="0"/>
        <v>0.16881404699999999</v>
      </c>
      <c r="I15" s="52">
        <f t="shared" si="0"/>
        <v>0.16881404699999999</v>
      </c>
      <c r="J15" s="52">
        <f t="shared" si="0"/>
        <v>0.16881404699999999</v>
      </c>
      <c r="K15" s="52">
        <f t="shared" si="0"/>
        <v>0.16881404699999999</v>
      </c>
      <c r="L15" s="52">
        <f t="shared" si="0"/>
        <v>0.13690761199999998</v>
      </c>
      <c r="M15" s="52">
        <f t="shared" si="0"/>
        <v>0.13690761199999998</v>
      </c>
      <c r="N15" s="52">
        <f t="shared" si="0"/>
        <v>0.13690761199999998</v>
      </c>
      <c r="O15" s="52">
        <f t="shared" si="0"/>
        <v>0.13690761199999998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0.539549017457844</v>
      </c>
      <c r="D2" s="53">
        <v>0.35821986807407402</v>
      </c>
      <c r="E2" s="53"/>
      <c r="F2" s="53"/>
      <c r="G2" s="53"/>
    </row>
    <row r="3" spans="1:7" x14ac:dyDescent="0.25">
      <c r="B3" s="3" t="s">
        <v>120</v>
      </c>
      <c r="C3" s="53">
        <v>0.12103883821986</v>
      </c>
      <c r="D3" s="53">
        <v>0.131303384925926</v>
      </c>
      <c r="E3" s="53"/>
      <c r="F3" s="53"/>
      <c r="G3" s="53"/>
    </row>
    <row r="4" spans="1:7" x14ac:dyDescent="0.25">
      <c r="B4" s="3" t="s">
        <v>121</v>
      </c>
      <c r="C4" s="53">
        <v>0.29482791161944599</v>
      </c>
      <c r="D4" s="53">
        <v>0.41057137481481498</v>
      </c>
      <c r="E4" s="53">
        <v>0.74607760248789901</v>
      </c>
      <c r="F4" s="53">
        <v>0.48696238432407402</v>
      </c>
      <c r="G4" s="53"/>
    </row>
    <row r="5" spans="1:7" x14ac:dyDescent="0.25">
      <c r="B5" s="3" t="s">
        <v>122</v>
      </c>
      <c r="C5" s="52">
        <v>4.4565622925755513E-2</v>
      </c>
      <c r="D5" s="52">
        <v>0.10012991372397</v>
      </c>
      <c r="E5" s="52">
        <f>1-SUM(E2:E4)</f>
        <v>0.25392239751210099</v>
      </c>
      <c r="F5" s="52">
        <f>1-SUM(F2:F4)</f>
        <v>0.51303761567592598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ht="13.25" customHeight="1" x14ac:dyDescent="0.25">
      <c r="A2" s="8" t="s">
        <v>137</v>
      </c>
      <c r="B2" s="41">
        <v>10</v>
      </c>
    </row>
    <row r="3" spans="1:2" ht="13.25" customHeight="1" x14ac:dyDescent="0.25">
      <c r="A3" s="8" t="s">
        <v>138</v>
      </c>
      <c r="B3" s="41">
        <v>10</v>
      </c>
    </row>
    <row r="4" spans="1:2" ht="13.25" customHeight="1" x14ac:dyDescent="0.25">
      <c r="A4" s="8" t="s">
        <v>139</v>
      </c>
      <c r="B4" s="41">
        <v>10</v>
      </c>
    </row>
    <row r="5" spans="1:2" ht="13.25" customHeight="1" x14ac:dyDescent="0.25">
      <c r="A5" s="8" t="s">
        <v>140</v>
      </c>
      <c r="B5" s="41">
        <v>10</v>
      </c>
    </row>
    <row r="6" spans="1:2" ht="13.25" customHeight="1" x14ac:dyDescent="0.25">
      <c r="A6" s="8" t="s">
        <v>141</v>
      </c>
      <c r="B6" s="41">
        <v>10</v>
      </c>
    </row>
    <row r="7" spans="1:2" ht="13.25" customHeight="1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ht="13.25" customHeight="1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ht="13.25" customHeight="1" x14ac:dyDescent="0.25">
      <c r="B5" s="32" t="s">
        <v>78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79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67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77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ht="13.25" customHeight="1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ht="13.25" customHeight="1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ht="13.25" customHeight="1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ht="13.25" customHeight="1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ht="13.25" customHeight="1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ht="13.25" customHeight="1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ht="13.25" customHeight="1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2024-03-18T00:21:30Z</dcterms:modified>
</cp:coreProperties>
</file>