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es\LiST countries\"/>
    </mc:Choice>
  </mc:AlternateContent>
  <xr:revisionPtr revIDLastSave="0" documentId="8_{13B1FF2F-B722-41DC-846C-267AA008C28C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H136" i="27"/>
  <c r="G136" i="27"/>
  <c r="F136" i="27"/>
  <c r="E136" i="27"/>
  <c r="H135" i="27"/>
  <c r="G135" i="27"/>
  <c r="F135" i="27"/>
  <c r="E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E130" i="27"/>
  <c r="D130" i="27"/>
  <c r="H129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E112" i="27"/>
  <c r="D112" i="27"/>
  <c r="H97" i="27"/>
  <c r="H152" i="27" s="1"/>
  <c r="G97" i="27"/>
  <c r="G152" i="27" s="1"/>
  <c r="F97" i="27"/>
  <c r="F152" i="27" s="1"/>
  <c r="E97" i="27"/>
  <c r="E152" i="27" s="1"/>
  <c r="D97" i="27"/>
  <c r="D152" i="27" s="1"/>
  <c r="H81" i="27"/>
  <c r="G81" i="27"/>
  <c r="F81" i="27"/>
  <c r="E81" i="27"/>
  <c r="H80" i="27"/>
  <c r="G80" i="27"/>
  <c r="F80" i="27"/>
  <c r="E80" i="27"/>
  <c r="D80" i="27"/>
  <c r="D135" i="27" s="1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D131" i="27" s="1"/>
  <c r="E75" i="27"/>
  <c r="D75" i="27"/>
  <c r="H74" i="27"/>
  <c r="G74" i="27"/>
  <c r="G129" i="27" s="1"/>
  <c r="F74" i="27"/>
  <c r="F129" i="27" s="1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H112" i="27" s="1"/>
  <c r="G57" i="27"/>
  <c r="G112" i="27" s="1"/>
  <c r="F57" i="27"/>
  <c r="F112" i="27" s="1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G40" i="2"/>
  <c r="I40" i="2" s="1"/>
  <c r="H39" i="2"/>
  <c r="G39" i="2"/>
  <c r="I39" i="2" s="1"/>
  <c r="H38" i="2"/>
  <c r="G38" i="2"/>
  <c r="I38" i="2" s="1"/>
  <c r="A35" i="2"/>
  <c r="A27" i="2"/>
  <c r="A19" i="2"/>
  <c r="I11" i="2"/>
  <c r="H11" i="2"/>
  <c r="G11" i="2"/>
  <c r="H10" i="2"/>
  <c r="G10" i="2"/>
  <c r="I10" i="2" s="1"/>
  <c r="H9" i="2"/>
  <c r="I9" i="2" s="1"/>
  <c r="G9" i="2"/>
  <c r="H8" i="2"/>
  <c r="G8" i="2"/>
  <c r="H7" i="2"/>
  <c r="I7" i="2" s="1"/>
  <c r="G7" i="2"/>
  <c r="H6" i="2"/>
  <c r="G6" i="2"/>
  <c r="I6" i="2" s="1"/>
  <c r="H5" i="2"/>
  <c r="I5" i="2" s="1"/>
  <c r="G5" i="2"/>
  <c r="H4" i="2"/>
  <c r="G4" i="2"/>
  <c r="I4" i="2" s="1"/>
  <c r="I3" i="2"/>
  <c r="H3" i="2"/>
  <c r="G3" i="2"/>
  <c r="H2" i="2"/>
  <c r="G2" i="2"/>
  <c r="I2" i="2" s="1"/>
  <c r="A2" i="2"/>
  <c r="A39" i="2" s="1"/>
  <c r="C33" i="1"/>
  <c r="C20" i="1"/>
  <c r="I8" i="2" l="1"/>
  <c r="A37" i="2"/>
  <c r="A14" i="2"/>
  <c r="A30" i="2"/>
  <c r="A40" i="2"/>
  <c r="A20" i="2"/>
  <c r="A22" i="2"/>
  <c r="A38" i="2"/>
  <c r="A15" i="2"/>
  <c r="A23" i="2"/>
  <c r="A31" i="2"/>
  <c r="A12" i="2"/>
  <c r="A21" i="2"/>
  <c r="A3" i="2"/>
  <c r="A4" i="2" s="1"/>
  <c r="A5" i="2" s="1"/>
  <c r="A6" i="2" s="1"/>
  <c r="A7" i="2" s="1"/>
  <c r="A8" i="2" s="1"/>
  <c r="A9" i="2" s="1"/>
  <c r="A10" i="2" s="1"/>
  <c r="A11" i="2" s="1"/>
  <c r="A36" i="2"/>
  <c r="A13" i="2"/>
  <c r="A16" i="2"/>
  <c r="A24" i="2"/>
  <c r="A32" i="2"/>
  <c r="A17" i="2"/>
  <c r="A25" i="2"/>
  <c r="A33" i="2"/>
  <c r="A28" i="2"/>
  <c r="A29" i="2"/>
  <c r="A18" i="2"/>
  <c r="A26" i="2"/>
  <c r="A3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<sst xmlns="http://schemas.openxmlformats.org/spreadsheetml/2006/main" count="2092" uniqueCount="341">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</sst>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25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19</v>
      </c>
      <c r="B1" s="29" t="s">
        <v>0</v>
      </c>
      <c r="C1" s="29" t="s">
        <v>24</v>
      </c>
    </row>
    <row r="2" spans="1:3" ht="15.9" customHeight="1" x14ac:dyDescent="0.3">
      <c r="A2" s="8" t="s">
        <v>55</v>
      </c>
      <c r="B2" s="29"/>
      <c r="C2" s="29"/>
    </row>
    <row r="3" spans="1:3" ht="15.9" customHeight="1" x14ac:dyDescent="0.3">
      <c r="A3" s="1"/>
      <c r="B3" s="5" t="s">
        <v>18</v>
      </c>
      <c r="C3" s="41">
        <v>2021</v>
      </c>
    </row>
    <row r="4" spans="1:3" ht="15.9" customHeight="1" x14ac:dyDescent="0.3">
      <c r="A4" s="1"/>
      <c r="B4" s="5" t="s">
        <v>26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50</v>
      </c>
    </row>
    <row r="7" spans="1:3" ht="15" customHeight="1" x14ac:dyDescent="0.25">
      <c r="B7" s="11" t="s">
        <v>23</v>
      </c>
      <c r="C7" s="43">
        <v>150638.6005859375</v>
      </c>
    </row>
    <row r="8" spans="1:3" ht="15" customHeight="1" x14ac:dyDescent="0.25">
      <c r="B8" s="5" t="s">
        <v>44</v>
      </c>
      <c r="C8" s="44">
        <v>1E-3</v>
      </c>
    </row>
    <row r="9" spans="1:3" ht="15" customHeight="1" x14ac:dyDescent="0.25">
      <c r="B9" s="5" t="s">
        <v>43</v>
      </c>
      <c r="C9" s="45">
        <v>0.01</v>
      </c>
    </row>
    <row r="10" spans="1:3" ht="15" customHeight="1" x14ac:dyDescent="0.25">
      <c r="B10" s="5" t="s">
        <v>56</v>
      </c>
      <c r="C10" s="45">
        <v>0.91188728330000002</v>
      </c>
    </row>
    <row r="11" spans="1:3" ht="15" customHeight="1" x14ac:dyDescent="0.25">
      <c r="B11" s="5" t="s">
        <v>49</v>
      </c>
      <c r="C11" s="45">
        <v>0.84200000000000008</v>
      </c>
    </row>
    <row r="12" spans="1:3" ht="15" customHeight="1" x14ac:dyDescent="0.25">
      <c r="B12" s="5" t="s">
        <v>41</v>
      </c>
      <c r="C12" s="45">
        <v>0.87</v>
      </c>
    </row>
    <row r="13" spans="1:3" ht="15" customHeight="1" x14ac:dyDescent="0.25">
      <c r="B13" s="5" t="s">
        <v>62</v>
      </c>
      <c r="C13" s="45">
        <v>0.78099999999999992</v>
      </c>
    </row>
    <row r="14" spans="1:3" ht="15" customHeight="1" x14ac:dyDescent="0.25">
      <c r="B14" s="8"/>
    </row>
    <row r="15" spans="1:3" ht="15" customHeight="1" x14ac:dyDescent="0.3">
      <c r="A15" s="8" t="s">
        <v>28</v>
      </c>
      <c r="B15" s="14"/>
      <c r="C15" s="3"/>
    </row>
    <row r="16" spans="1:3" ht="15" customHeight="1" x14ac:dyDescent="0.25">
      <c r="B16" s="5" t="s">
        <v>33</v>
      </c>
      <c r="C16" s="45">
        <v>0.1</v>
      </c>
    </row>
    <row r="17" spans="1:3" ht="15" customHeight="1" x14ac:dyDescent="0.25">
      <c r="B17" s="5" t="s">
        <v>30</v>
      </c>
      <c r="C17" s="45">
        <v>0.7</v>
      </c>
    </row>
    <row r="18" spans="1:3" ht="15" customHeight="1" x14ac:dyDescent="0.25">
      <c r="B18" s="5" t="s">
        <v>31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34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12</v>
      </c>
    </row>
    <row r="23" spans="1:3" ht="15" customHeight="1" x14ac:dyDescent="0.25">
      <c r="B23" s="15" t="s">
        <v>45</v>
      </c>
      <c r="C23" s="45">
        <v>3.7400000000000003E-2</v>
      </c>
    </row>
    <row r="24" spans="1:3" ht="15" customHeight="1" x14ac:dyDescent="0.25">
      <c r="B24" s="15" t="s">
        <v>46</v>
      </c>
      <c r="C24" s="45">
        <v>0.53110000000000002</v>
      </c>
    </row>
    <row r="25" spans="1:3" ht="15" customHeight="1" x14ac:dyDescent="0.25">
      <c r="B25" s="15" t="s">
        <v>47</v>
      </c>
      <c r="C25" s="45">
        <v>0.41370000000000001</v>
      </c>
    </row>
    <row r="26" spans="1:3" ht="15" customHeight="1" x14ac:dyDescent="0.25">
      <c r="B26" s="15" t="s">
        <v>48</v>
      </c>
      <c r="C26" s="45">
        <v>1.78E-2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22</v>
      </c>
      <c r="B28" s="15"/>
      <c r="C28" s="15"/>
    </row>
    <row r="29" spans="1:3" ht="14.25" customHeight="1" x14ac:dyDescent="0.25">
      <c r="B29" s="25" t="s">
        <v>27</v>
      </c>
      <c r="C29" s="45">
        <v>0.35675533525383901</v>
      </c>
    </row>
    <row r="30" spans="1:3" ht="14.25" customHeight="1" x14ac:dyDescent="0.25">
      <c r="B30" s="25" t="s">
        <v>63</v>
      </c>
      <c r="C30" s="99">
        <v>6.5910586704521698E-2</v>
      </c>
    </row>
    <row r="31" spans="1:3" ht="14.25" customHeight="1" x14ac:dyDescent="0.25">
      <c r="B31" s="25" t="s">
        <v>10</v>
      </c>
      <c r="C31" s="99">
        <v>9.262041217609189E-2</v>
      </c>
    </row>
    <row r="32" spans="1:3" ht="14.25" customHeight="1" x14ac:dyDescent="0.25">
      <c r="B32" s="25" t="s">
        <v>11</v>
      </c>
      <c r="C32" s="99">
        <v>0.48471366586554798</v>
      </c>
    </row>
    <row r="33" spans="1:5" ht="13" customHeight="1" x14ac:dyDescent="0.25">
      <c r="B33" s="27" t="s">
        <v>60</v>
      </c>
      <c r="C33" s="48">
        <f>SUM(C29:C32)</f>
        <v>1.0000000000000004</v>
      </c>
    </row>
    <row r="34" spans="1:5" ht="15" customHeight="1" x14ac:dyDescent="0.25"/>
    <row r="35" spans="1:5" ht="15" customHeight="1" x14ac:dyDescent="0.3">
      <c r="A35" s="4" t="s">
        <v>20</v>
      </c>
    </row>
    <row r="36" spans="1:5" ht="15" customHeight="1" x14ac:dyDescent="0.25">
      <c r="A36" s="8" t="s">
        <v>37</v>
      </c>
      <c r="B36" s="5"/>
    </row>
    <row r="37" spans="1:5" ht="15" customHeight="1" x14ac:dyDescent="0.25">
      <c r="B37" s="11" t="s">
        <v>38</v>
      </c>
      <c r="C37" s="43">
        <v>4.2178857906418203</v>
      </c>
    </row>
    <row r="38" spans="1:5" ht="15" customHeight="1" x14ac:dyDescent="0.25">
      <c r="B38" s="11" t="s">
        <v>35</v>
      </c>
      <c r="C38" s="43">
        <v>5.0581398742528503</v>
      </c>
      <c r="D38" s="12"/>
      <c r="E38" s="13"/>
    </row>
    <row r="39" spans="1:5" ht="15" customHeight="1" x14ac:dyDescent="0.25">
      <c r="B39" s="11" t="s">
        <v>61</v>
      </c>
      <c r="C39" s="43">
        <v>5.8536895559859703</v>
      </c>
      <c r="D39" s="12"/>
      <c r="E39" s="12"/>
    </row>
    <row r="40" spans="1:5" ht="15" customHeight="1" x14ac:dyDescent="0.25">
      <c r="B40" s="11" t="s">
        <v>36</v>
      </c>
      <c r="C40" s="100">
        <v>0.1</v>
      </c>
    </row>
    <row r="41" spans="1:5" ht="15" customHeight="1" x14ac:dyDescent="0.25">
      <c r="B41" s="11" t="s">
        <v>32</v>
      </c>
      <c r="C41" s="45">
        <v>0.12</v>
      </c>
    </row>
    <row r="42" spans="1:5" ht="15" customHeight="1" x14ac:dyDescent="0.25">
      <c r="B42" s="11" t="s">
        <v>57</v>
      </c>
      <c r="C42" s="43">
        <v>2.7619540140000001</v>
      </c>
    </row>
    <row r="43" spans="1:5" ht="15.75" customHeight="1" x14ac:dyDescent="0.25">
      <c r="D43" s="12"/>
    </row>
    <row r="44" spans="1:5" ht="15.75" customHeight="1" x14ac:dyDescent="0.25">
      <c r="A44" s="8" t="s">
        <v>21</v>
      </c>
      <c r="D44" s="12"/>
    </row>
    <row r="45" spans="1:5" ht="15.75" customHeight="1" x14ac:dyDescent="0.25">
      <c r="B45" s="11" t="s">
        <v>52</v>
      </c>
      <c r="C45" s="45">
        <v>5.8349999999999999E-3</v>
      </c>
      <c r="D45" s="12"/>
    </row>
    <row r="46" spans="1:5" ht="15.75" customHeight="1" x14ac:dyDescent="0.25">
      <c r="B46" s="11" t="s">
        <v>51</v>
      </c>
      <c r="C46" s="45">
        <v>6.3463599999999995E-2</v>
      </c>
      <c r="D46" s="12"/>
    </row>
    <row r="47" spans="1:5" ht="15.75" customHeight="1" x14ac:dyDescent="0.25">
      <c r="B47" s="11" t="s">
        <v>59</v>
      </c>
      <c r="C47" s="45">
        <v>3.30342E-2</v>
      </c>
      <c r="D47" s="12"/>
      <c r="E47" s="13"/>
    </row>
    <row r="48" spans="1:5" ht="15" customHeight="1" x14ac:dyDescent="0.25">
      <c r="B48" s="11" t="s">
        <v>58</v>
      </c>
      <c r="C48" s="46">
        <v>0.89766720000000011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25</v>
      </c>
      <c r="D50" s="12"/>
    </row>
    <row r="51" spans="1:4" ht="15.75" customHeight="1" x14ac:dyDescent="0.25">
      <c r="B51" s="11" t="s">
        <v>17</v>
      </c>
      <c r="C51" s="100">
        <v>2.8</v>
      </c>
      <c r="D51" s="12"/>
    </row>
    <row r="52" spans="1:4" ht="15" customHeight="1" x14ac:dyDescent="0.25">
      <c r="B52" s="11" t="s">
        <v>13</v>
      </c>
      <c r="C52" s="100">
        <v>2.8</v>
      </c>
    </row>
    <row r="53" spans="1:4" ht="15.75" customHeight="1" x14ac:dyDescent="0.25">
      <c r="B53" s="11" t="s">
        <v>16</v>
      </c>
      <c r="C53" s="100">
        <v>2.8</v>
      </c>
    </row>
    <row r="54" spans="1:4" ht="15.75" customHeight="1" x14ac:dyDescent="0.25">
      <c r="B54" s="11" t="s">
        <v>14</v>
      </c>
      <c r="C54" s="100">
        <v>2.8</v>
      </c>
    </row>
    <row r="55" spans="1:4" ht="15.75" customHeight="1" x14ac:dyDescent="0.25">
      <c r="B55" s="11" t="s">
        <v>15</v>
      </c>
      <c r="C55" s="100">
        <v>2.8</v>
      </c>
    </row>
    <row r="57" spans="1:4" ht="15.75" customHeight="1" x14ac:dyDescent="0.25">
      <c r="A57" s="8" t="s">
        <v>39</v>
      </c>
    </row>
    <row r="58" spans="1:4" ht="15.75" customHeight="1" x14ac:dyDescent="0.25">
      <c r="B58" s="5" t="s">
        <v>42</v>
      </c>
      <c r="C58" s="45">
        <v>1.6428571428571431E-2</v>
      </c>
    </row>
    <row r="59" spans="1:4" ht="15.75" customHeight="1" x14ac:dyDescent="0.25">
      <c r="B59" s="11" t="s">
        <v>40</v>
      </c>
      <c r="C59" s="45">
        <v>0.61777399999999993</v>
      </c>
    </row>
    <row r="60" spans="1:4" ht="15.75" customHeight="1" x14ac:dyDescent="0.25">
      <c r="B60" s="11" t="s">
        <v>54</v>
      </c>
      <c r="C60" s="45">
        <v>4.5999999999999999E-2</v>
      </c>
    </row>
    <row r="61" spans="1:4" ht="15.75" customHeight="1" x14ac:dyDescent="0.25">
      <c r="B61" s="11" t="s">
        <v>53</v>
      </c>
      <c r="C61" s="45">
        <v>1.4E-2</v>
      </c>
    </row>
    <row r="62" spans="1:4" ht="15.75" customHeight="1" x14ac:dyDescent="0.25">
      <c r="B62" s="11" t="s">
        <v>64</v>
      </c>
      <c r="C62" s="44">
        <v>3.3956865999999898E-2</v>
      </c>
    </row>
    <row r="63" spans="1:4" ht="15.75" customHeight="1" x14ac:dyDescent="0.3">
      <c r="A63" s="4"/>
    </row>
  </sheetData>
  <sheetProtection algorithmName="SHA-512" hashValue="UTOXljJ9QoDL0yhii4gVBulupW1bLQX51pUhGG0YXzZPA/iPLpzJzuLUd0CKt1Czn1tWky+Rip/hdOuQD+KhtA==" saltValue="Txzdnu/sroY4V2y4tqeof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5">
      <c r="A2" s="5" t="s">
        <v>165</v>
      </c>
      <c r="B2" s="45">
        <v>0.28042825124946502</v>
      </c>
      <c r="C2" s="98">
        <v>0.95</v>
      </c>
      <c r="D2" s="56">
        <v>62.267198925302971</v>
      </c>
      <c r="E2" s="56" t="s">
        <v>183</v>
      </c>
      <c r="F2" s="98">
        <v>1</v>
      </c>
      <c r="G2" s="98">
        <v>1</v>
      </c>
    </row>
    <row r="3" spans="1:7" ht="15.75" customHeight="1" x14ac:dyDescent="0.25">
      <c r="A3" s="5" t="s">
        <v>166</v>
      </c>
      <c r="B3" s="45">
        <v>0</v>
      </c>
      <c r="C3" s="98">
        <v>0.95</v>
      </c>
      <c r="D3" s="56">
        <v>39.975115048626499</v>
      </c>
      <c r="E3" s="56" t="s">
        <v>183</v>
      </c>
      <c r="F3" s="98">
        <v>1</v>
      </c>
      <c r="G3" s="98">
        <v>1</v>
      </c>
    </row>
    <row r="4" spans="1:7" ht="15.75" customHeight="1" x14ac:dyDescent="0.25">
      <c r="A4" s="5" t="s">
        <v>167</v>
      </c>
      <c r="B4" s="98">
        <v>0</v>
      </c>
      <c r="C4" s="98">
        <v>0.95</v>
      </c>
      <c r="D4" s="56">
        <v>480.84054251477158</v>
      </c>
      <c r="E4" s="56" t="s">
        <v>183</v>
      </c>
      <c r="F4" s="98">
        <v>1</v>
      </c>
      <c r="G4" s="98">
        <v>1</v>
      </c>
    </row>
    <row r="5" spans="1:7" ht="15.75" customHeight="1" x14ac:dyDescent="0.25">
      <c r="A5" s="5" t="s">
        <v>169</v>
      </c>
      <c r="B5" s="98">
        <v>0</v>
      </c>
      <c r="C5" s="98">
        <v>0.95</v>
      </c>
      <c r="D5" s="56">
        <v>7.5977498652403259</v>
      </c>
      <c r="E5" s="56" t="s">
        <v>183</v>
      </c>
      <c r="F5" s="98">
        <v>1</v>
      </c>
      <c r="G5" s="98">
        <v>1</v>
      </c>
    </row>
    <row r="6" spans="1:7" ht="15.75" customHeight="1" x14ac:dyDescent="0.25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5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5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5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5">
      <c r="A10" s="11" t="s">
        <v>174</v>
      </c>
      <c r="B10" s="45">
        <v>0</v>
      </c>
      <c r="C10" s="98">
        <v>0.95</v>
      </c>
      <c r="D10" s="56">
        <v>13.107414492422411</v>
      </c>
      <c r="E10" s="56" t="s">
        <v>183</v>
      </c>
      <c r="F10" s="98">
        <v>1</v>
      </c>
      <c r="G10" s="98">
        <v>1</v>
      </c>
    </row>
    <row r="11" spans="1:7" ht="15.75" customHeight="1" x14ac:dyDescent="0.25">
      <c r="A11" s="11" t="s">
        <v>175</v>
      </c>
      <c r="B11" s="98">
        <v>0</v>
      </c>
      <c r="C11" s="98">
        <v>0.95</v>
      </c>
      <c r="D11" s="56">
        <v>13.107414492422411</v>
      </c>
      <c r="E11" s="56" t="s">
        <v>183</v>
      </c>
      <c r="F11" s="98">
        <v>1</v>
      </c>
      <c r="G11" s="98">
        <v>1</v>
      </c>
    </row>
    <row r="12" spans="1:7" ht="15.75" customHeight="1" x14ac:dyDescent="0.25">
      <c r="A12" s="11" t="s">
        <v>176</v>
      </c>
      <c r="B12" s="98">
        <v>0</v>
      </c>
      <c r="C12" s="98">
        <v>0.95</v>
      </c>
      <c r="D12" s="56">
        <v>13.107414492422411</v>
      </c>
      <c r="E12" s="56" t="s">
        <v>183</v>
      </c>
      <c r="F12" s="98">
        <v>1</v>
      </c>
      <c r="G12" s="98">
        <v>1</v>
      </c>
    </row>
    <row r="13" spans="1:7" ht="15.75" customHeight="1" x14ac:dyDescent="0.25">
      <c r="A13" s="11" t="s">
        <v>177</v>
      </c>
      <c r="B13" s="98">
        <v>0</v>
      </c>
      <c r="C13" s="98">
        <v>0.95</v>
      </c>
      <c r="D13" s="56">
        <v>13.107414492422411</v>
      </c>
      <c r="E13" s="56" t="s">
        <v>183</v>
      </c>
      <c r="F13" s="98">
        <v>1</v>
      </c>
      <c r="G13" s="98">
        <v>1</v>
      </c>
    </row>
    <row r="14" spans="1:7" ht="15.75" customHeight="1" x14ac:dyDescent="0.25">
      <c r="A14" s="5" t="s">
        <v>178</v>
      </c>
      <c r="B14" s="45">
        <v>0</v>
      </c>
      <c r="C14" s="98">
        <v>0.95</v>
      </c>
      <c r="D14" s="56">
        <v>13.107414492422411</v>
      </c>
      <c r="E14" s="56" t="s">
        <v>183</v>
      </c>
      <c r="F14" s="98">
        <v>1</v>
      </c>
      <c r="G14" s="98">
        <v>1</v>
      </c>
    </row>
    <row r="15" spans="1:7" ht="15.75" customHeight="1" x14ac:dyDescent="0.25">
      <c r="A15" s="5" t="s">
        <v>179</v>
      </c>
      <c r="B15" s="98">
        <v>0</v>
      </c>
      <c r="C15" s="98">
        <v>0.95</v>
      </c>
      <c r="D15" s="56">
        <v>13.107414492422411</v>
      </c>
      <c r="E15" s="56" t="s">
        <v>183</v>
      </c>
      <c r="F15" s="98">
        <v>1</v>
      </c>
      <c r="G15" s="98">
        <v>1</v>
      </c>
    </row>
    <row r="16" spans="1:7" ht="15.75" customHeight="1" x14ac:dyDescent="0.25">
      <c r="A16" s="5" t="s">
        <v>180</v>
      </c>
      <c r="B16" s="45">
        <v>0.46246243958473199</v>
      </c>
      <c r="C16" s="98">
        <v>0.95</v>
      </c>
      <c r="D16" s="56">
        <v>0.81418029231775391</v>
      </c>
      <c r="E16" s="56" t="s">
        <v>183</v>
      </c>
      <c r="F16" s="98">
        <v>1</v>
      </c>
      <c r="G16" s="98">
        <v>1</v>
      </c>
    </row>
    <row r="17" spans="1:7" ht="15.75" customHeight="1" x14ac:dyDescent="0.25">
      <c r="A17" s="5" t="s">
        <v>181</v>
      </c>
      <c r="B17" s="98">
        <v>0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" customHeight="1" x14ac:dyDescent="0.25">
      <c r="A18" s="5" t="s">
        <v>151</v>
      </c>
      <c r="B18" s="98">
        <v>0</v>
      </c>
      <c r="C18" s="98">
        <v>0.95</v>
      </c>
      <c r="D18" s="56">
        <v>11.065100889871371</v>
      </c>
      <c r="E18" s="56" t="s">
        <v>183</v>
      </c>
      <c r="F18" s="98">
        <v>1</v>
      </c>
      <c r="G18" s="98">
        <v>1</v>
      </c>
    </row>
    <row r="19" spans="1:7" ht="15.75" customHeight="1" x14ac:dyDescent="0.25">
      <c r="A19" s="5" t="s">
        <v>152</v>
      </c>
      <c r="B19" s="98">
        <v>0</v>
      </c>
      <c r="C19" s="98">
        <v>0.95</v>
      </c>
      <c r="D19" s="56">
        <v>11.065100889871371</v>
      </c>
      <c r="E19" s="56" t="s">
        <v>183</v>
      </c>
      <c r="F19" s="98">
        <v>1</v>
      </c>
      <c r="G19" s="98">
        <v>1</v>
      </c>
    </row>
    <row r="20" spans="1:7" ht="15.75" customHeight="1" x14ac:dyDescent="0.25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5">
      <c r="A21" s="5" t="s">
        <v>182</v>
      </c>
      <c r="B21" s="45">
        <v>0.19614531099796301</v>
      </c>
      <c r="C21" s="98">
        <v>0.95</v>
      </c>
      <c r="D21" s="56">
        <v>79.90136660715082</v>
      </c>
      <c r="E21" s="56" t="s">
        <v>183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22.669145438411171</v>
      </c>
      <c r="E22" s="56" t="s">
        <v>183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5.4631352399999999E-3</v>
      </c>
      <c r="C23" s="98">
        <v>0.95</v>
      </c>
      <c r="D23" s="56">
        <v>4.3388595676177406</v>
      </c>
      <c r="E23" s="56" t="s">
        <v>183</v>
      </c>
      <c r="F23" s="98">
        <v>1</v>
      </c>
      <c r="G23" s="98">
        <v>1</v>
      </c>
    </row>
    <row r="24" spans="1:7" ht="15.75" customHeight="1" x14ac:dyDescent="0.25">
      <c r="A24" s="5" t="s">
        <v>188</v>
      </c>
      <c r="B24" s="45">
        <v>0.79086162611910193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5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5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5">
      <c r="A27" s="5" t="s">
        <v>191</v>
      </c>
      <c r="B27" s="45">
        <v>0.248764296429482</v>
      </c>
      <c r="C27" s="98">
        <v>0.95</v>
      </c>
      <c r="D27" s="56">
        <v>18.641484890005319</v>
      </c>
      <c r="E27" s="56" t="s">
        <v>183</v>
      </c>
      <c r="F27" s="98">
        <v>1</v>
      </c>
      <c r="G27" s="98">
        <v>1</v>
      </c>
    </row>
    <row r="28" spans="1:7" ht="15.75" customHeight="1" x14ac:dyDescent="0.25">
      <c r="A28" s="5" t="s">
        <v>192</v>
      </c>
      <c r="B28" s="45">
        <v>0.36322349999999998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5">
      <c r="A29" s="5" t="s">
        <v>193</v>
      </c>
      <c r="B29" s="45">
        <v>0</v>
      </c>
      <c r="C29" s="98">
        <v>0.95</v>
      </c>
      <c r="D29" s="56">
        <v>123.32014378516121</v>
      </c>
      <c r="E29" s="56" t="s">
        <v>183</v>
      </c>
      <c r="F29" s="98">
        <v>1</v>
      </c>
      <c r="G29" s="98">
        <v>1</v>
      </c>
    </row>
    <row r="30" spans="1:7" ht="15.75" customHeight="1" x14ac:dyDescent="0.25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5">
      <c r="A31" s="5" t="s">
        <v>164</v>
      </c>
      <c r="B31" s="45">
        <v>0</v>
      </c>
      <c r="C31" s="98">
        <v>0.95</v>
      </c>
      <c r="D31" s="56">
        <v>1.7708964965206571</v>
      </c>
      <c r="E31" s="56" t="s">
        <v>183</v>
      </c>
      <c r="F31" s="98">
        <v>1</v>
      </c>
      <c r="G31" s="98">
        <v>1</v>
      </c>
    </row>
    <row r="32" spans="1:7" ht="15.75" customHeight="1" x14ac:dyDescent="0.25">
      <c r="A32" s="5" t="s">
        <v>196</v>
      </c>
      <c r="B32" s="45">
        <v>0.1619959</v>
      </c>
      <c r="C32" s="98">
        <v>0.95</v>
      </c>
      <c r="D32" s="56">
        <v>1.7579636017261</v>
      </c>
      <c r="E32" s="56" t="s">
        <v>183</v>
      </c>
      <c r="F32" s="98">
        <v>1</v>
      </c>
      <c r="G32" s="98">
        <v>1</v>
      </c>
    </row>
    <row r="33" spans="1:7" ht="15.75" customHeight="1" x14ac:dyDescent="0.25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5">
      <c r="A34" s="5" t="s">
        <v>198</v>
      </c>
      <c r="B34" s="45">
        <v>0.95360235308728092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5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5">
      <c r="A36" s="5" t="s">
        <v>200</v>
      </c>
      <c r="B36" s="45">
        <v>0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5">
      <c r="A37" s="5" t="s">
        <v>201</v>
      </c>
      <c r="B37" s="45">
        <v>0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5">
      <c r="A38" s="5" t="s">
        <v>202</v>
      </c>
      <c r="B38" s="45">
        <v>0</v>
      </c>
      <c r="C38" s="98">
        <v>0.95</v>
      </c>
      <c r="D38" s="56">
        <v>2.7958272003703142</v>
      </c>
      <c r="E38" s="56" t="s">
        <v>183</v>
      </c>
      <c r="F38" s="98">
        <v>1</v>
      </c>
      <c r="G38" s="98">
        <v>1</v>
      </c>
    </row>
    <row r="39" spans="1:7" ht="15.75" customHeight="1" x14ac:dyDescent="0.25">
      <c r="A39" s="5" t="s">
        <v>203</v>
      </c>
      <c r="B39" s="45">
        <v>0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aXq/LQMnKXZSp+H24L10LAqHkezgplM5P/NM6/HFXmMS0t6f2ocu3nkC8a5qEKtwiqr1hZJfr3L5JhePJyudTA==" saltValue="b5DNZD5k9cwIZfuERFpLr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8" sqref="B7:B8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163</v>
      </c>
      <c r="B1" s="4" t="s">
        <v>205</v>
      </c>
      <c r="C1" s="4" t="s">
        <v>206</v>
      </c>
    </row>
    <row r="2" spans="1:3" ht="13.25" customHeight="1" x14ac:dyDescent="0.25">
      <c r="A2" s="57" t="s">
        <v>178</v>
      </c>
      <c r="B2" s="47" t="s">
        <v>191</v>
      </c>
      <c r="C2" s="47"/>
    </row>
    <row r="3" spans="1:3" ht="13.25" customHeight="1" x14ac:dyDescent="0.25">
      <c r="A3" s="57" t="s">
        <v>179</v>
      </c>
      <c r="B3" s="47" t="s">
        <v>191</v>
      </c>
      <c r="C3" s="47"/>
    </row>
    <row r="4" spans="1:3" ht="13.25" customHeight="1" x14ac:dyDescent="0.25">
      <c r="A4" s="57" t="s">
        <v>193</v>
      </c>
      <c r="B4" s="47" t="s">
        <v>184</v>
      </c>
      <c r="C4" s="47"/>
    </row>
    <row r="5" spans="1:3" ht="13.25" customHeight="1" x14ac:dyDescent="0.25">
      <c r="A5" s="57" t="s">
        <v>190</v>
      </c>
      <c r="B5" s="47" t="s">
        <v>184</v>
      </c>
      <c r="C5" s="47"/>
    </row>
    <row r="6" spans="1:3" ht="13.25" customHeight="1" x14ac:dyDescent="0.25">
      <c r="A6" s="57"/>
      <c r="B6" s="58"/>
      <c r="C6" s="58"/>
    </row>
    <row r="7" spans="1:3" ht="13.25" customHeight="1" x14ac:dyDescent="0.25">
      <c r="A7" s="57"/>
      <c r="B7" s="58"/>
      <c r="C7" s="58"/>
    </row>
    <row r="8" spans="1:3" ht="13.25" customHeight="1" x14ac:dyDescent="0.25">
      <c r="A8" s="57"/>
      <c r="B8" s="58"/>
      <c r="C8" s="58"/>
    </row>
    <row r="9" spans="1:3" ht="13.25" customHeight="1" x14ac:dyDescent="0.25">
      <c r="A9" s="57"/>
      <c r="B9" s="58"/>
      <c r="C9" s="58"/>
    </row>
    <row r="10" spans="1:3" ht="13.25" customHeight="1" x14ac:dyDescent="0.25">
      <c r="A10" s="57"/>
      <c r="B10" s="58"/>
      <c r="C10" s="58"/>
    </row>
    <row r="11" spans="1:3" ht="13.25" customHeight="1" x14ac:dyDescent="0.25">
      <c r="A11" s="59"/>
      <c r="B11" s="58"/>
      <c r="C11" s="58"/>
    </row>
    <row r="12" spans="1:3" ht="13.25" customHeight="1" x14ac:dyDescent="0.25">
      <c r="A12" s="59"/>
      <c r="B12" s="58"/>
      <c r="C12" s="58"/>
    </row>
    <row r="13" spans="1:3" ht="13.25" customHeight="1" x14ac:dyDescent="0.25">
      <c r="A13" s="59"/>
      <c r="B13" s="58"/>
      <c r="C13" s="58"/>
    </row>
    <row r="14" spans="1:3" ht="13.25" customHeight="1" x14ac:dyDescent="0.25">
      <c r="A14" s="59"/>
      <c r="B14" s="58"/>
      <c r="C14" s="58"/>
    </row>
    <row r="15" spans="1:3" ht="13.25" customHeight="1" x14ac:dyDescent="0.25">
      <c r="A15" s="59"/>
      <c r="B15" s="58"/>
      <c r="C15" s="58"/>
    </row>
    <row r="16" spans="1:3" ht="13.25" customHeight="1" x14ac:dyDescent="0.25">
      <c r="A16" s="59"/>
      <c r="B16" s="58"/>
      <c r="C16" s="58"/>
    </row>
    <row r="17" spans="1:3" ht="13.25" customHeight="1" x14ac:dyDescent="0.25">
      <c r="A17" s="59"/>
      <c r="B17" s="58"/>
      <c r="C17" s="58"/>
    </row>
    <row r="18" spans="1:3" ht="13.25" customHeight="1" x14ac:dyDescent="0.25">
      <c r="A18" s="59"/>
      <c r="B18" s="58"/>
      <c r="C18" s="58"/>
    </row>
    <row r="19" spans="1:3" ht="13.25" customHeight="1" x14ac:dyDescent="0.25">
      <c r="A19" s="57"/>
      <c r="B19" s="58"/>
      <c r="C19" s="58"/>
    </row>
    <row r="20" spans="1:3" ht="13.25" customHeight="1" x14ac:dyDescent="0.25">
      <c r="A20" s="57"/>
      <c r="B20" s="58"/>
      <c r="C20" s="58"/>
    </row>
  </sheetData>
  <sheetProtection algorithmName="SHA-512" hashValue="cnLaR036WJpIgVlXabFnkavGmAL7xZALu7ApLfkG9kljLQpZTIJVJpHIAwy+rMwsKkTLEX4QFNXp4DomWcz9ng==" saltValue="3is06vvlikUM5YXZ3HDhp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163</v>
      </c>
    </row>
    <row r="2" spans="1:1" ht="13.25" customHeight="1" x14ac:dyDescent="0.25">
      <c r="A2" s="33" t="s">
        <v>170</v>
      </c>
    </row>
    <row r="3" spans="1:1" ht="13.25" customHeight="1" x14ac:dyDescent="0.25">
      <c r="A3" s="33" t="s">
        <v>180</v>
      </c>
    </row>
    <row r="4" spans="1:1" ht="13.25" customHeight="1" x14ac:dyDescent="0.25">
      <c r="A4" s="33" t="s">
        <v>185</v>
      </c>
    </row>
    <row r="5" spans="1:1" ht="13.25" customHeight="1" x14ac:dyDescent="0.25">
      <c r="A5" s="33" t="s">
        <v>197</v>
      </c>
    </row>
    <row r="6" spans="1:1" ht="13.25" customHeight="1" x14ac:dyDescent="0.25">
      <c r="A6" s="33" t="s">
        <v>198</v>
      </c>
    </row>
    <row r="7" spans="1:1" ht="13.25" customHeight="1" x14ac:dyDescent="0.25">
      <c r="A7" s="33" t="s">
        <v>199</v>
      </c>
    </row>
    <row r="8" spans="1:1" ht="13.25" customHeight="1" x14ac:dyDescent="0.25">
      <c r="A8" s="33" t="s">
        <v>200</v>
      </c>
    </row>
    <row r="9" spans="1:1" ht="13.25" customHeight="1" x14ac:dyDescent="0.25">
      <c r="A9" s="33" t="s">
        <v>201</v>
      </c>
    </row>
    <row r="10" spans="1:1" ht="13.25" customHeight="1" x14ac:dyDescent="0.25">
      <c r="A10" s="33"/>
    </row>
    <row r="11" spans="1:1" ht="13.25" customHeight="1" x14ac:dyDescent="0.25">
      <c r="A11" s="33"/>
    </row>
    <row r="12" spans="1:1" ht="13.25" customHeight="1" x14ac:dyDescent="0.25">
      <c r="A12" s="33"/>
    </row>
    <row r="13" spans="1:1" ht="13.25" customHeight="1" x14ac:dyDescent="0.25">
      <c r="A13" s="33"/>
    </row>
    <row r="14" spans="1:1" ht="13.25" customHeight="1" x14ac:dyDescent="0.25">
      <c r="A14" s="33"/>
    </row>
    <row r="15" spans="1:1" ht="13.25" customHeight="1" x14ac:dyDescent="0.25">
      <c r="A15" s="33"/>
    </row>
    <row r="16" spans="1:1" ht="13.25" customHeight="1" x14ac:dyDescent="0.25">
      <c r="A16" s="33"/>
    </row>
    <row r="17" spans="1:1" ht="13.25" customHeight="1" x14ac:dyDescent="0.25">
      <c r="A17" s="33"/>
    </row>
    <row r="18" spans="1:1" ht="13.25" customHeight="1" x14ac:dyDescent="0.25">
      <c r="A18" s="33"/>
    </row>
    <row r="19" spans="1:1" ht="13.25" customHeight="1" x14ac:dyDescent="0.25">
      <c r="A19" s="33"/>
    </row>
  </sheetData>
  <sheetProtection algorithmName="SHA-512" hashValue="U8nzrMMY38oAFs+ogzp1AkGKzAmi+RUtiF3YEiwuHvPbLHfobMv3RGZHoFP12OxHQzJkRfJcT3lDdmSmDPbseA==" saltValue="WbFBWrnjYAkIoBVnZ6Ir0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5">
      <c r="A2" s="3" t="s">
        <v>84</v>
      </c>
      <c r="B2" s="21">
        <f>'Entradas de población-año base'!C51</f>
        <v>2.8</v>
      </c>
      <c r="C2" s="21">
        <f>'Entradas de población-año base'!C52</f>
        <v>2.8</v>
      </c>
      <c r="D2" s="21">
        <f>'Entradas de población-año base'!C53</f>
        <v>2.8</v>
      </c>
      <c r="E2" s="21">
        <f>'Entradas de población-año base'!C54</f>
        <v>2.8</v>
      </c>
      <c r="F2" s="21">
        <f>'Entradas de población-año base'!C55</f>
        <v>2.8</v>
      </c>
    </row>
    <row r="3" spans="1:6" ht="15.75" customHeight="1" x14ac:dyDescent="0.25">
      <c r="A3" s="3" t="s">
        <v>6</v>
      </c>
      <c r="B3" s="21">
        <f>frac_mam_1month * 2.6</f>
        <v>3.9738470129668697E-2</v>
      </c>
      <c r="C3" s="21">
        <f>frac_mam_1_5months * 2.6</f>
        <v>3.9738470129668697E-2</v>
      </c>
      <c r="D3" s="21">
        <f>frac_mam_6_11months * 2.6</f>
        <v>4.3825420364737439E-2</v>
      </c>
      <c r="E3" s="21">
        <f>frac_mam_12_23months * 2.6</f>
        <v>1.5634861588478079E-2</v>
      </c>
      <c r="F3" s="21">
        <f>frac_mam_24_59months * 2.6</f>
        <v>1.5226278919726602E-2</v>
      </c>
    </row>
    <row r="4" spans="1:6" ht="15.75" customHeight="1" x14ac:dyDescent="0.25">
      <c r="A4" s="3" t="s">
        <v>207</v>
      </c>
      <c r="B4" s="21">
        <f>frac_sam_1month * 2.6</f>
        <v>0.19002916216850282</v>
      </c>
      <c r="C4" s="21">
        <f>frac_sam_1_5months * 2.6</f>
        <v>0.19002916216850282</v>
      </c>
      <c r="D4" s="21">
        <f>frac_sam_6_11months * 2.6</f>
        <v>0</v>
      </c>
      <c r="E4" s="21">
        <f>frac_sam_12_23months * 2.6</f>
        <v>1.5853948518633837E-2</v>
      </c>
      <c r="F4" s="21">
        <f>frac_sam_24_59months * 2.6</f>
        <v>3.031134195625796E-2</v>
      </c>
    </row>
  </sheetData>
  <sheetProtection algorithmName="SHA-512" hashValue="E1JEclIEeOHKd0J/W6P+n6S1CdD6DT+LfuAK5C7BQ4bCwLAWEGSPL6iiuDmfEWkAzLRvZInbyQqvndMT0hRiKw==" saltValue="DUIhYkoadnn9/b8vt5i8l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">
      <c r="A2" s="4" t="s">
        <v>83</v>
      </c>
      <c r="B2" s="5" t="s">
        <v>167</v>
      </c>
      <c r="C2" s="60">
        <v>0</v>
      </c>
      <c r="D2" s="60">
        <f>food_insecure</f>
        <v>1E-3</v>
      </c>
      <c r="E2" s="60">
        <f>food_insecure</f>
        <v>1E-3</v>
      </c>
      <c r="F2" s="60">
        <f>food_insecure</f>
        <v>1E-3</v>
      </c>
      <c r="G2" s="60">
        <f>food_insecure</f>
        <v>1E-3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1E-3</v>
      </c>
      <c r="F5" s="60">
        <f>food_insecure</f>
        <v>1E-3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192</v>
      </c>
      <c r="C7" s="60">
        <f>diarrhoea_1mo*frac_diarrhea_severe</f>
        <v>4.6000000000000006E-2</v>
      </c>
      <c r="D7" s="60">
        <f>diarrhoea_1_5mo*frac_diarrhea_severe</f>
        <v>4.6000000000000006E-2</v>
      </c>
      <c r="E7" s="60">
        <f>diarrhoea_6_11mo*frac_diarrhea_severe</f>
        <v>4.6000000000000006E-2</v>
      </c>
      <c r="F7" s="60">
        <f>diarrhoea_12_23mo*frac_diarrhea_severe</f>
        <v>4.6000000000000006E-2</v>
      </c>
      <c r="G7" s="60">
        <f>diarrhoea_24_59mo*frac_diarrhea_severe</f>
        <v>4.6000000000000006E-2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193</v>
      </c>
      <c r="C8" s="60">
        <v>0</v>
      </c>
      <c r="D8" s="60">
        <v>0</v>
      </c>
      <c r="E8" s="60">
        <f>food_insecure</f>
        <v>1E-3</v>
      </c>
      <c r="F8" s="60">
        <f>food_insecure</f>
        <v>1E-3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204</v>
      </c>
      <c r="C9" s="60">
        <v>0</v>
      </c>
      <c r="D9" s="60">
        <v>0</v>
      </c>
      <c r="E9" s="60">
        <f>food_insecure</f>
        <v>1E-3</v>
      </c>
      <c r="F9" s="60">
        <f>food_insecure</f>
        <v>1E-3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164</v>
      </c>
      <c r="C10" s="60">
        <v>0</v>
      </c>
      <c r="D10" s="60">
        <f>IF(ISBLANK(comm_deliv), frac_children_health_facility,1)</f>
        <v>0.87</v>
      </c>
      <c r="E10" s="60">
        <f>IF(ISBLANK(comm_deliv), frac_children_health_facility,1)</f>
        <v>0.87</v>
      </c>
      <c r="F10" s="60">
        <f>IF(ISBLANK(comm_deliv), frac_children_health_facility,1)</f>
        <v>0.87</v>
      </c>
      <c r="G10" s="60">
        <f>IF(ISBLANK(comm_deliv), frac_children_health_facility,1)</f>
        <v>0.87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202</v>
      </c>
      <c r="C12" s="60">
        <f>diarrhoea_1mo*frac_diarrhea_severe</f>
        <v>4.6000000000000006E-2</v>
      </c>
      <c r="D12" s="60">
        <f>diarrhoea_1_5mo*frac_diarrhea_severe</f>
        <v>4.6000000000000006E-2</v>
      </c>
      <c r="E12" s="60">
        <f>diarrhoea_6_11mo*frac_diarrhea_severe</f>
        <v>4.6000000000000006E-2</v>
      </c>
      <c r="F12" s="60">
        <f>diarrhoea_12_23mo*frac_diarrhea_severe</f>
        <v>4.6000000000000006E-2</v>
      </c>
      <c r="G12" s="60">
        <f>diarrhoea_24_59mo*frac_diarrhea_severe</f>
        <v>4.6000000000000006E-2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1E-3</v>
      </c>
      <c r="I15" s="60">
        <f>food_insecure</f>
        <v>1E-3</v>
      </c>
      <c r="J15" s="60">
        <f>food_insecure</f>
        <v>1E-3</v>
      </c>
      <c r="K15" s="60">
        <f>food_insecure</f>
        <v>1E-3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0.84200000000000008</v>
      </c>
      <c r="I18" s="60">
        <f>frac_PW_health_facility</f>
        <v>0.84200000000000008</v>
      </c>
      <c r="J18" s="60">
        <f>frac_PW_health_facility</f>
        <v>0.84200000000000008</v>
      </c>
      <c r="K18" s="60">
        <f>frac_PW_health_facility</f>
        <v>0.84200000000000008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0.78099999999999992</v>
      </c>
      <c r="M24" s="60">
        <f>famplan_unmet_need</f>
        <v>0.78099999999999992</v>
      </c>
      <c r="N24" s="60">
        <f>famplan_unmet_need</f>
        <v>0.78099999999999992</v>
      </c>
      <c r="O24" s="60">
        <f>famplan_unmet_need</f>
        <v>0.78099999999999992</v>
      </c>
    </row>
    <row r="25" spans="1:15" ht="15.75" customHeight="1" x14ac:dyDescent="0.25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4.3193734853506992E-2</v>
      </c>
      <c r="M25" s="60">
        <f>(1-food_insecure)*(0.49)+food_insecure*(0.7)</f>
        <v>0.49020999999999998</v>
      </c>
      <c r="N25" s="60">
        <f>(1-food_insecure)*(0.49)+food_insecure*(0.7)</f>
        <v>0.49020999999999998</v>
      </c>
      <c r="O25" s="60">
        <f>(1-food_insecure)*(0.49)+food_insecure*(0.7)</f>
        <v>0.49020999999999998</v>
      </c>
    </row>
    <row r="26" spans="1:15" ht="15.75" customHeight="1" x14ac:dyDescent="0.25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1.8511600651502997E-2</v>
      </c>
      <c r="M26" s="60">
        <f>(1-food_insecure)*(0.21)+food_insecure*(0.3)</f>
        <v>0.21009</v>
      </c>
      <c r="N26" s="60">
        <f>(1-food_insecure)*(0.21)+food_insecure*(0.3)</f>
        <v>0.21009</v>
      </c>
      <c r="O26" s="60">
        <f>(1-food_insecure)*(0.21)+food_insecure*(0.3)</f>
        <v>0.21009</v>
      </c>
    </row>
    <row r="27" spans="1:15" ht="15.75" customHeight="1" x14ac:dyDescent="0.25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2.640738119498999E-2</v>
      </c>
      <c r="M27" s="60">
        <f>(1-food_insecure)*(0.3)</f>
        <v>0.29969999999999997</v>
      </c>
      <c r="N27" s="60">
        <f>(1-food_insecure)*(0.3)</f>
        <v>0.29969999999999997</v>
      </c>
      <c r="O27" s="60">
        <f>(1-food_insecure)*(0.3)</f>
        <v>0.29969999999999997</v>
      </c>
    </row>
    <row r="28" spans="1:15" ht="15.75" customHeight="1" x14ac:dyDescent="0.25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0.91188728330000002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EgqptwXgwVZXVe9NInWoCtlvCGC252jm4hTuIMTJ27d+Ja2Gqg7OX2p8DATFUDiaaOotJZFyHNnspUNIOFpFIw==" saltValue="UMtIFQJwieWsgfQI9NC5fQ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183</v>
      </c>
    </row>
    <row r="2" spans="1:1" x14ac:dyDescent="0.25">
      <c r="A2" s="8" t="s">
        <v>213</v>
      </c>
    </row>
    <row r="3" spans="1:1" x14ac:dyDescent="0.25">
      <c r="A3" s="8" t="s">
        <v>212</v>
      </c>
    </row>
    <row r="4" spans="1:1" x14ac:dyDescent="0.25">
      <c r="A4" s="8" t="s">
        <v>214</v>
      </c>
    </row>
  </sheetData>
  <sheetProtection algorithmName="SHA-512" hashValue="92vB5l/ES95l1tZtSSWRcN1ERuuGDTWdF3mjOmLGSv+L1+/+sGUlkUD5CVvFXzFPZei+OjlLs/7Wn6f/Kl/NLw==" saltValue="XPihJNCjZ288Hy6xnrRv4g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4" customHeight="1" x14ac:dyDescent="0.3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VNhyaa4CuHg5/YrIDkpXuBleYgKjrrO6seTyhBgd5HknjX/+Y5deK0BH4xC3It4zmzw8UqsAxHdaUkgWAu1icw==" saltValue="pfvDCx3D9wRvYKEUMGXgb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C12" sqref="C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X+T+E5vPQ8Tsybrpvg6WDr8ZPH6iM3O+Duxf3Zox0kUiDH+kHmziHgFas0qG8xZGA6X9M96Q1QKrSBEe5sT6Mw==" saltValue="m/zj7+ZwnfOhHvrxq2BghQ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15" workbookViewId="0">
      <selection activeCell="E28" sqref="E28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ht="13.25" customHeight="1" x14ac:dyDescent="0.25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ht="13.25" customHeight="1" x14ac:dyDescent="0.25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ht="13.25" customHeight="1" x14ac:dyDescent="0.25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ht="13.25" customHeight="1" x14ac:dyDescent="0.25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ht="13.25" customHeight="1" x14ac:dyDescent="0.25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ht="13.25" customHeight="1" x14ac:dyDescent="0.25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ht="13.25" customHeight="1" x14ac:dyDescent="0.25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ht="13.25" customHeight="1" x14ac:dyDescent="0.25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ht="13.25" customHeight="1" x14ac:dyDescent="0.25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ht="13.25" customHeight="1" x14ac:dyDescent="0.25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ht="13.25" customHeight="1" x14ac:dyDescent="0.25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ht="13.25" customHeight="1" x14ac:dyDescent="0.25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ht="13.25" customHeight="1" x14ac:dyDescent="0.25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ht="13.25" customHeight="1" x14ac:dyDescent="0.25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ht="13.25" customHeight="1" x14ac:dyDescent="0.25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ht="13.25" customHeight="1" x14ac:dyDescent="0.25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ht="13.25" customHeight="1" x14ac:dyDescent="0.25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ht="13.25" customHeight="1" x14ac:dyDescent="0.25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ht="13.25" customHeight="1" x14ac:dyDescent="0.25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ht="13.25" customHeight="1" x14ac:dyDescent="0.25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ht="13.25" customHeight="1" x14ac:dyDescent="0.25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TllUcIJUhTgBjRdHDazTbSkkEEJZJKEATcyJvgtn9b7Dndsyc3sFjvaf+KDLk4fYIQR9lDyxTRlPRAUD3+WIzQ==" saltValue="ENT/0hNxnHA2iHtFHfyvUw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ht="13.25" customHeight="1" x14ac:dyDescent="0.25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ht="13.25" customHeight="1" x14ac:dyDescent="0.25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ht="13.25" customHeight="1" x14ac:dyDescent="0.25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ht="13.25" customHeight="1" x14ac:dyDescent="0.25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ht="13.25" customHeight="1" x14ac:dyDescent="0.25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ht="13.25" customHeight="1" x14ac:dyDescent="0.25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ht="13.25" customHeight="1" x14ac:dyDescent="0.25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ht="13.25" customHeight="1" x14ac:dyDescent="0.25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ht="13.25" customHeight="1" x14ac:dyDescent="0.25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ht="13.25" customHeight="1" x14ac:dyDescent="0.25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ht="13.25" customHeight="1" x14ac:dyDescent="0.25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ht="13.25" customHeight="1" x14ac:dyDescent="0.25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ht="13.25" customHeight="1" x14ac:dyDescent="0.25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1BWrFJ/kEYy7DEr2IZtSIsh9dp1QPnH0CpwARiu6W+n/okQJO5jbDJ6zpF+HygfhfbNrH6qIdAlD7cPfyLTk+w==" saltValue="5cIVMA+vDpRipJVeQxa93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5">
      <c r="A2" s="5">
        <f>start_year</f>
        <v>2021</v>
      </c>
      <c r="B2" s="49">
        <v>32635.533599999999</v>
      </c>
      <c r="C2" s="49">
        <v>83000</v>
      </c>
      <c r="D2" s="49">
        <v>224000</v>
      </c>
      <c r="E2" s="49">
        <v>238000</v>
      </c>
      <c r="F2" s="49">
        <v>241000</v>
      </c>
      <c r="G2" s="17">
        <f t="shared" ref="G2:G11" si="0">C2+D2+E2+F2</f>
        <v>786000</v>
      </c>
      <c r="H2" s="17">
        <f t="shared" ref="H2:H11" si="1">(B2 + stillbirth*B2/(1000-stillbirth))/(1-abortion)</f>
        <v>37188.54669217491</v>
      </c>
      <c r="I2" s="17">
        <f t="shared" ref="I2:I11" si="2">G2-H2</f>
        <v>748811.45330782514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32556.5864</v>
      </c>
      <c r="C3" s="50">
        <v>82000</v>
      </c>
      <c r="D3" s="50">
        <v>218000</v>
      </c>
      <c r="E3" s="50">
        <v>237000</v>
      </c>
      <c r="F3" s="50">
        <v>241000</v>
      </c>
      <c r="G3" s="17">
        <f t="shared" si="0"/>
        <v>778000</v>
      </c>
      <c r="H3" s="17">
        <f t="shared" si="1"/>
        <v>37098.585496215906</v>
      </c>
      <c r="I3" s="17">
        <f t="shared" si="2"/>
        <v>740901.41450378415</v>
      </c>
    </row>
    <row r="4" spans="1:9" ht="15.75" customHeight="1" x14ac:dyDescent="0.25">
      <c r="A4" s="5">
        <f t="shared" si="3"/>
        <v>2023</v>
      </c>
      <c r="B4" s="49">
        <v>32468.314999999991</v>
      </c>
      <c r="C4" s="50">
        <v>83000</v>
      </c>
      <c r="D4" s="50">
        <v>212000</v>
      </c>
      <c r="E4" s="50">
        <v>235000</v>
      </c>
      <c r="F4" s="50">
        <v>239000</v>
      </c>
      <c r="G4" s="17">
        <f t="shared" si="0"/>
        <v>769000</v>
      </c>
      <c r="H4" s="17">
        <f t="shared" si="1"/>
        <v>36997.999272600915</v>
      </c>
      <c r="I4" s="17">
        <f t="shared" si="2"/>
        <v>732002.00072739914</v>
      </c>
    </row>
    <row r="5" spans="1:9" ht="15.75" customHeight="1" x14ac:dyDescent="0.25">
      <c r="A5" s="5">
        <f t="shared" si="3"/>
        <v>2024</v>
      </c>
      <c r="B5" s="49">
        <v>32380.06519999999</v>
      </c>
      <c r="C5" s="50">
        <v>84000</v>
      </c>
      <c r="D5" s="50">
        <v>205000</v>
      </c>
      <c r="E5" s="50">
        <v>234000</v>
      </c>
      <c r="F5" s="50">
        <v>238000</v>
      </c>
      <c r="G5" s="17">
        <f t="shared" si="0"/>
        <v>761000</v>
      </c>
      <c r="H5" s="17">
        <f t="shared" si="1"/>
        <v>36897.43766242166</v>
      </c>
      <c r="I5" s="17">
        <f t="shared" si="2"/>
        <v>724102.56233757839</v>
      </c>
    </row>
    <row r="6" spans="1:9" ht="15.75" customHeight="1" x14ac:dyDescent="0.25">
      <c r="A6" s="5">
        <f t="shared" si="3"/>
        <v>2025</v>
      </c>
      <c r="B6" s="49">
        <v>32282.495999999999</v>
      </c>
      <c r="C6" s="50">
        <v>83000</v>
      </c>
      <c r="D6" s="50">
        <v>197000</v>
      </c>
      <c r="E6" s="50">
        <v>234000</v>
      </c>
      <c r="F6" s="50">
        <v>238000</v>
      </c>
      <c r="G6" s="17">
        <f t="shared" si="0"/>
        <v>752000</v>
      </c>
      <c r="H6" s="17">
        <f t="shared" si="1"/>
        <v>36786.256494238842</v>
      </c>
      <c r="I6" s="17">
        <f t="shared" si="2"/>
        <v>715213.74350576114</v>
      </c>
    </row>
    <row r="7" spans="1:9" ht="15.75" customHeight="1" x14ac:dyDescent="0.25">
      <c r="A7" s="5">
        <f t="shared" si="3"/>
        <v>2026</v>
      </c>
      <c r="B7" s="49">
        <v>31894.40159999999</v>
      </c>
      <c r="C7" s="50">
        <v>83000</v>
      </c>
      <c r="D7" s="50">
        <v>191000</v>
      </c>
      <c r="E7" s="50">
        <v>232000</v>
      </c>
      <c r="F7" s="50">
        <v>237000</v>
      </c>
      <c r="G7" s="17">
        <f t="shared" si="0"/>
        <v>743000</v>
      </c>
      <c r="H7" s="17">
        <f t="shared" si="1"/>
        <v>36344.018690124249</v>
      </c>
      <c r="I7" s="17">
        <f t="shared" si="2"/>
        <v>706655.98130987573</v>
      </c>
    </row>
    <row r="8" spans="1:9" ht="15.75" customHeight="1" x14ac:dyDescent="0.25">
      <c r="A8" s="5">
        <f t="shared" si="3"/>
        <v>2027</v>
      </c>
      <c r="B8" s="49">
        <v>31498.730199999991</v>
      </c>
      <c r="C8" s="50">
        <v>82000</v>
      </c>
      <c r="D8" s="50">
        <v>184000</v>
      </c>
      <c r="E8" s="50">
        <v>232000</v>
      </c>
      <c r="F8" s="50">
        <v>237000</v>
      </c>
      <c r="G8" s="17">
        <f t="shared" si="0"/>
        <v>735000</v>
      </c>
      <c r="H8" s="17">
        <f t="shared" si="1"/>
        <v>35893.146811821083</v>
      </c>
      <c r="I8" s="17">
        <f t="shared" si="2"/>
        <v>699106.85318817897</v>
      </c>
    </row>
    <row r="9" spans="1:9" ht="15.75" customHeight="1" x14ac:dyDescent="0.25">
      <c r="A9" s="5">
        <f t="shared" si="3"/>
        <v>2028</v>
      </c>
      <c r="B9" s="49">
        <v>31104.822799999991</v>
      </c>
      <c r="C9" s="50">
        <v>80000</v>
      </c>
      <c r="D9" s="50">
        <v>178000</v>
      </c>
      <c r="E9" s="50">
        <v>231000</v>
      </c>
      <c r="F9" s="50">
        <v>237000</v>
      </c>
      <c r="G9" s="17">
        <f t="shared" si="0"/>
        <v>726000</v>
      </c>
      <c r="H9" s="17">
        <f t="shared" si="1"/>
        <v>35444.285030768624</v>
      </c>
      <c r="I9" s="17">
        <f t="shared" si="2"/>
        <v>690555.7149692314</v>
      </c>
    </row>
    <row r="10" spans="1:9" ht="15.75" customHeight="1" x14ac:dyDescent="0.25">
      <c r="A10" s="5">
        <f t="shared" si="3"/>
        <v>2029</v>
      </c>
      <c r="B10" s="49">
        <v>30703.69119999999</v>
      </c>
      <c r="C10" s="50">
        <v>79000</v>
      </c>
      <c r="D10" s="50">
        <v>172000</v>
      </c>
      <c r="E10" s="50">
        <v>230000</v>
      </c>
      <c r="F10" s="50">
        <v>237000</v>
      </c>
      <c r="G10" s="17">
        <f t="shared" si="0"/>
        <v>718000</v>
      </c>
      <c r="H10" s="17">
        <f t="shared" si="1"/>
        <v>34987.19119497772</v>
      </c>
      <c r="I10" s="17">
        <f t="shared" si="2"/>
        <v>683012.80880502227</v>
      </c>
    </row>
    <row r="11" spans="1:9" ht="15.75" customHeight="1" x14ac:dyDescent="0.25">
      <c r="A11" s="5">
        <f t="shared" si="3"/>
        <v>2030</v>
      </c>
      <c r="B11" s="49">
        <v>30304.5</v>
      </c>
      <c r="C11" s="50">
        <v>78000</v>
      </c>
      <c r="D11" s="50">
        <v>168000</v>
      </c>
      <c r="E11" s="50">
        <v>226000</v>
      </c>
      <c r="F11" s="50">
        <v>236000</v>
      </c>
      <c r="G11" s="17">
        <f t="shared" si="0"/>
        <v>708000</v>
      </c>
      <c r="H11" s="17">
        <f t="shared" si="1"/>
        <v>34532.30846616262</v>
      </c>
      <c r="I11" s="17">
        <f t="shared" si="2"/>
        <v>673467.69153383735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GMa5/CZPm4aeVH7v2CddGntIM/zWX/o5o9qxWHznP/8kWfoPHcCJvhN4R6k5EYNan9T2dcpMbTABxoBzk6RXBg==" saltValue="yK4wgf7nSmpAyPyasIOyeA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13" zoomScale="85" zoomScaleNormal="85" workbookViewId="0">
      <selection activeCell="E28" sqref="E28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ht="13" customHeight="1" x14ac:dyDescent="0.3">
      <c r="A2" s="4" t="s">
        <v>236</v>
      </c>
      <c r="B2" s="103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ht="13.25" customHeight="1" x14ac:dyDescent="0.25">
      <c r="B3" s="104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ht="13.25" customHeight="1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ht="13.25" customHeight="1" x14ac:dyDescent="0.25">
      <c r="B5" s="103" t="s">
        <v>78</v>
      </c>
      <c r="C5" s="8" t="s">
        <v>150</v>
      </c>
      <c r="D5" s="88">
        <f>IFERROR((MIN(1,1.56*'Distribución de lactancia'!$C$2)/(1-MIN(1,1.56*'Distribución de lactancia'!$C$2))) /
('Distribución de lactancia'!$C$2/(1-'Distribución de lactancia'!$C$2)), 1.56)</f>
        <v>2.0480799517130315</v>
      </c>
      <c r="E5" s="88">
        <v>1</v>
      </c>
      <c r="F5" s="88">
        <v>1</v>
      </c>
      <c r="G5" s="88">
        <v>1</v>
      </c>
      <c r="H5" s="88">
        <v>1</v>
      </c>
    </row>
    <row r="6" spans="1:10" ht="13.25" customHeight="1" x14ac:dyDescent="0.25">
      <c r="B6" s="104"/>
      <c r="C6" s="8" t="s">
        <v>149</v>
      </c>
      <c r="D6" s="88">
        <f>IFERROR((MIN(1,1.56*'Distribución de lactancia'!$C$2)/(1-MIN(1,1.56*'Distribución de lactancia'!$C$2))) /
('Distribución de lactancia'!$C$2/(1-'Distribución de lactancia'!$C$2)), 1.56)</f>
        <v>2.0480799517130315</v>
      </c>
      <c r="E6" s="88">
        <v>1</v>
      </c>
      <c r="F6" s="88">
        <v>1</v>
      </c>
      <c r="G6" s="88">
        <v>1</v>
      </c>
      <c r="H6" s="88">
        <v>1</v>
      </c>
    </row>
    <row r="7" spans="1:10" ht="13.25" customHeight="1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ht="13.25" customHeight="1" x14ac:dyDescent="0.25">
      <c r="B8" s="103" t="s">
        <v>74</v>
      </c>
      <c r="C8" s="8" t="s">
        <v>150</v>
      </c>
      <c r="D8" s="88">
        <v>1</v>
      </c>
      <c r="E8" s="88">
        <f>IFERROR((MIN(1,1.56*'Distribución de lactancia'!$D$2)/(1-MIN(1,1.56*'Distribución de lactancia'!$D$2))) /
('Distribución de lactancia'!$D$2/(1-'Distribución de lactancia'!$D$2)), 1.56)</f>
        <v>1.7493780202577112</v>
      </c>
      <c r="F8" s="88">
        <v>1</v>
      </c>
      <c r="G8" s="88">
        <v>1</v>
      </c>
      <c r="H8" s="88">
        <v>1</v>
      </c>
    </row>
    <row r="9" spans="1:10" ht="13.25" customHeight="1" x14ac:dyDescent="0.25">
      <c r="B9" s="104"/>
      <c r="C9" s="8" t="s">
        <v>149</v>
      </c>
      <c r="D9" s="88">
        <v>1</v>
      </c>
      <c r="E9" s="88">
        <f>IFERROR((MIN(1,1.56*'Distribución de lactancia'!$D$2)/(1-MIN(1,1.56*'Distribución de lactancia'!$D$2))) /
('Distribución de lactancia'!$D$2/(1-'Distribución de lactancia'!$D$2)), 1.56)</f>
        <v>1.7493780202577112</v>
      </c>
      <c r="F9" s="88">
        <v>1</v>
      </c>
      <c r="G9" s="88">
        <v>1</v>
      </c>
      <c r="H9" s="88">
        <v>1</v>
      </c>
    </row>
    <row r="10" spans="1:10" ht="13.25" customHeight="1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ht="13.25" customHeight="1" x14ac:dyDescent="0.25">
      <c r="B11" s="103" t="s">
        <v>77</v>
      </c>
      <c r="C11" s="8" t="s">
        <v>150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ht="13.25" customHeight="1" x14ac:dyDescent="0.25">
      <c r="B12" s="104"/>
      <c r="C12" s="8" t="s">
        <v>149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ht="13.25" customHeight="1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ht="13.25" customHeight="1" x14ac:dyDescent="0.25">
      <c r="B14" s="103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ht="13.25" customHeight="1" x14ac:dyDescent="0.25">
      <c r="B15" s="104"/>
      <c r="C15" s="8" t="s">
        <v>149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ht="13.25" customHeight="1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ht="13.25" customHeight="1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242</v>
      </c>
      <c r="B19" s="103" t="s">
        <v>104</v>
      </c>
      <c r="C19" s="8" t="s">
        <v>150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ht="13.25" customHeight="1" x14ac:dyDescent="0.25">
      <c r="B20" s="104"/>
      <c r="C20" s="8" t="s">
        <v>149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ht="13.25" customHeight="1" x14ac:dyDescent="0.25">
      <c r="B21" s="104"/>
      <c r="C21" s="8" t="s">
        <v>155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ht="13.25" customHeight="1" x14ac:dyDescent="0.25">
      <c r="B22" s="103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ht="13.25" customHeight="1" x14ac:dyDescent="0.25">
      <c r="B23" s="104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ht="13.25" customHeight="1" x14ac:dyDescent="0.25">
      <c r="B24" s="104"/>
      <c r="C24" s="8" t="s">
        <v>155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ht="13.25" customHeight="1" x14ac:dyDescent="0.25">
      <c r="B25" s="103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ht="13.25" customHeight="1" x14ac:dyDescent="0.25">
      <c r="B26" s="104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77</v>
      </c>
      <c r="C28" s="8" t="s">
        <v>150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149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149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148</v>
      </c>
      <c r="C34" s="8" t="s">
        <v>155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239</v>
      </c>
      <c r="B36" s="103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77</v>
      </c>
      <c r="C45" s="8" t="s">
        <v>150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149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149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148</v>
      </c>
      <c r="C51" s="8" t="s">
        <v>155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ht="13" customHeight="1" x14ac:dyDescent="0.3">
      <c r="A55" s="4" t="s">
        <v>237</v>
      </c>
      <c r="B55" s="103" t="s">
        <v>104</v>
      </c>
      <c r="C55" s="8" t="s">
        <v>150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149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78</v>
      </c>
      <c r="C58" s="8" t="s">
        <v>150</v>
      </c>
      <c r="D58" s="88">
        <f>IFERROR((MIN(1,1.37*'Distribución de lactancia'!$C$2)/(1-MIN(1,1.37*'Distribución de lactancia'!$C$2))) /
('Distribución de lactancia'!$C$2/(1-'Distribución de lactancia'!$C$2)), 1.37)</f>
        <v>1.6260268216166192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149</v>
      </c>
      <c r="D59" s="88">
        <f>IFERROR((MIN(1,1.37*'Distribución de lactancia'!$C$2)/(1-MIN(1,1.37*'Distribución de lactancia'!$C$2))) /
('Distribución de lactancia'!$C$2/(1-'Distribución de lactancia'!$C$2)), 1.37)</f>
        <v>1.6260268216166192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74</v>
      </c>
      <c r="C61" s="8" t="s">
        <v>150</v>
      </c>
      <c r="D61" s="88">
        <f t="shared" si="2"/>
        <v>1</v>
      </c>
      <c r="E61" s="88">
        <f>IFERROR((MIN(1,1.37*'Distribución de lactancia'!$D$2)/(1-MIN(1,1.37*'Distribución de lactancia'!$D$2))) /
('Distribución de lactancia'!$D$2/(1-'Distribución de lactancia'!$D$2)), 1.37)</f>
        <v>1.4755382989761392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149</v>
      </c>
      <c r="D62" s="88">
        <f t="shared" si="2"/>
        <v>1</v>
      </c>
      <c r="E62" s="88">
        <f>IFERROR((MIN(1,1.37*'Distribución de lactancia'!$D$2)/(1-MIN(1,1.37*'Distribución de lactancia'!$D$2))) /
('Distribución de lactancia'!$D$2/(1-'Distribución de lactancia'!$D$2)), 1.37)</f>
        <v>1.4755382989761392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77</v>
      </c>
      <c r="C64" s="8" t="s">
        <v>150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149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75</v>
      </c>
      <c r="C67" s="8" t="s">
        <v>150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149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148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243</v>
      </c>
      <c r="B72" s="103" t="s">
        <v>104</v>
      </c>
      <c r="C72" s="8" t="s">
        <v>150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149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78</v>
      </c>
      <c r="C75" s="8" t="s">
        <v>150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149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74</v>
      </c>
      <c r="C78" s="8" t="s">
        <v>150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149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77</v>
      </c>
      <c r="C81" s="8" t="s">
        <v>150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149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75</v>
      </c>
      <c r="C84" s="8" t="s">
        <v>150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149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148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240</v>
      </c>
      <c r="B89" s="103" t="s">
        <v>104</v>
      </c>
      <c r="C89" s="8" t="s">
        <v>150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149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78</v>
      </c>
      <c r="C92" s="8" t="s">
        <v>150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149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74</v>
      </c>
      <c r="C95" s="8" t="s">
        <v>150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149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77</v>
      </c>
      <c r="C98" s="8" t="s">
        <v>150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149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75</v>
      </c>
      <c r="C101" s="8" t="s">
        <v>150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149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148</v>
      </c>
      <c r="C104" s="8" t="s">
        <v>155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ht="13" customHeight="1" x14ac:dyDescent="0.3">
      <c r="A108" s="4" t="s">
        <v>238</v>
      </c>
      <c r="B108" s="103" t="s">
        <v>104</v>
      </c>
      <c r="C108" s="8" t="s">
        <v>150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149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78</v>
      </c>
      <c r="C111" s="8" t="s">
        <v>150</v>
      </c>
      <c r="D111" s="88">
        <f>IFERROR((MIN(1,1.77*'Distribución de lactancia'!$C$2)/(1-MIN(1,1.77*'Distribución de lactancia'!$C$2))) /
('Distribución de lactancia'!$C$2/(1-'Distribución de lactancia'!$C$2)), 1.77)</f>
        <v>2.6326655387268967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149</v>
      </c>
      <c r="D112" s="88">
        <f>IFERROR((MIN(1,1.77*'Distribución de lactancia'!$C$2)/(1-MIN(1,1.77*'Distribución de lactancia'!$C$2))) /
('Distribución de lactancia'!$C$2/(1-'Distribución de lactancia'!$C$2)), 1.77)</f>
        <v>2.6326655387268967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74</v>
      </c>
      <c r="C114" s="8" t="s">
        <v>150</v>
      </c>
      <c r="D114" s="88">
        <f t="shared" si="12"/>
        <v>1</v>
      </c>
      <c r="E114" s="88">
        <f>IFERROR((MIN(1,1.77*'Distribución de lactancia'!$D$2)/(1-MIN(1,1.77*'Distribución de lactancia'!$D$2))) /
('Distribución de lactancia'!$D$2/(1-'Distribución de lactancia'!$D$2)), 1.77)</f>
        <v>2.079539250460785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149</v>
      </c>
      <c r="D115" s="88">
        <f t="shared" si="12"/>
        <v>1</v>
      </c>
      <c r="E115" s="88">
        <f>IFERROR((MIN(1,1.77*'Distribución de lactancia'!$D$2)/(1-MIN(1,1.77*'Distribución de lactancia'!$D$2))) /
('Distribución de lactancia'!$D$2/(1-'Distribución de lactancia'!$D$2)), 1.77)</f>
        <v>2.079539250460785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77</v>
      </c>
      <c r="C117" s="8" t="s">
        <v>150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149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75</v>
      </c>
      <c r="C120" s="8" t="s">
        <v>150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149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148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244</v>
      </c>
      <c r="B125" s="103" t="s">
        <v>104</v>
      </c>
      <c r="C125" s="8" t="s">
        <v>150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149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78</v>
      </c>
      <c r="C128" s="8" t="s">
        <v>150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149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74</v>
      </c>
      <c r="C131" s="8" t="s">
        <v>150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149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77</v>
      </c>
      <c r="C134" s="8" t="s">
        <v>150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149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75</v>
      </c>
      <c r="C137" s="8" t="s">
        <v>150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149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148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241</v>
      </c>
      <c r="B142" s="103" t="s">
        <v>104</v>
      </c>
      <c r="C142" s="8" t="s">
        <v>150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149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78</v>
      </c>
      <c r="C145" s="8" t="s">
        <v>150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149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74</v>
      </c>
      <c r="C148" s="8" t="s">
        <v>150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149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77</v>
      </c>
      <c r="C151" s="8" t="s">
        <v>150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149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75</v>
      </c>
      <c r="C154" s="8" t="s">
        <v>150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149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148</v>
      </c>
      <c r="C157" s="8" t="s">
        <v>155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KupWC4GB/XS72/7w5yDM9IAlnm8x1dmscfvc76YkVgzHXR7b4gVjXK9+w5SGM9PlLA8X7Z8XIHVAs5upDOdQNQ==" saltValue="5aehBgAu0L37pJusBVlTwA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31" sqref="C31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248</v>
      </c>
    </row>
    <row r="2" spans="1:6" ht="15.75" customHeight="1" x14ac:dyDescent="0.3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3">
      <c r="A3" s="4" t="s">
        <v>255</v>
      </c>
      <c r="B3" s="14"/>
      <c r="C3" s="71"/>
      <c r="D3" s="72"/>
      <c r="E3" s="72"/>
      <c r="F3" s="72"/>
    </row>
    <row r="4" spans="1:6" ht="15.75" customHeight="1" x14ac:dyDescent="0.25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261</v>
      </c>
      <c r="C11" s="74"/>
      <c r="D11" s="75"/>
      <c r="E11" s="75"/>
      <c r="F11" s="75"/>
    </row>
    <row r="12" spans="1:6" ht="15.75" customHeight="1" x14ac:dyDescent="0.3">
      <c r="A12" s="4" t="s">
        <v>249</v>
      </c>
      <c r="C12" s="73"/>
      <c r="D12" s="64"/>
      <c r="E12" s="64"/>
      <c r="F12" s="64"/>
    </row>
    <row r="13" spans="1:6" ht="15.75" customHeight="1" x14ac:dyDescent="0.25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5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97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95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91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248</v>
      </c>
    </row>
    <row r="29" spans="1:6" ht="15.75" customHeight="1" x14ac:dyDescent="0.3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3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5">
      <c r="B31" s="5" t="s">
        <v>27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63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10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11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253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3">
      <c r="A39" s="4" t="s">
        <v>250</v>
      </c>
      <c r="C39" s="73"/>
      <c r="D39" s="64"/>
      <c r="E39" s="64"/>
      <c r="F39" s="64"/>
    </row>
    <row r="40" spans="1:6" ht="15.75" customHeight="1" x14ac:dyDescent="0.25">
      <c r="B40" s="11" t="s">
        <v>265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246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262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5">
      <c r="B45" s="5" t="s">
        <v>93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97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95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91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96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98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92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94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248</v>
      </c>
    </row>
    <row r="56" spans="1:6" ht="15.75" customHeight="1" x14ac:dyDescent="0.3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63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10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11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254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3">
      <c r="A66" s="4" t="s">
        <v>251</v>
      </c>
      <c r="C66" s="73"/>
      <c r="D66" s="64"/>
      <c r="E66" s="64"/>
      <c r="F66" s="64"/>
    </row>
    <row r="67" spans="1:6" ht="15.75" customHeight="1" x14ac:dyDescent="0.25">
      <c r="B67" s="11" t="s">
        <v>266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247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263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5">
      <c r="B72" s="5" t="s">
        <v>93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97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95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91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96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98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92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94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K+CXMJCv8c20+C3e6PZtVRgsFOnJJiscgSZRiJjJDagbpeSdD/1y4W8DDXY/67ATmuSZs4UvMabua21qHDq+aA==" saltValue="1HXcCQA7TfafLEcVEQ+M2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D30" sqref="D30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278</v>
      </c>
    </row>
    <row r="2" spans="1:16" ht="13" customHeight="1" x14ac:dyDescent="0.3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279</v>
      </c>
    </row>
    <row r="29" spans="1:16" ht="13" customHeight="1" x14ac:dyDescent="0.3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276</v>
      </c>
    </row>
    <row r="56" spans="1:16" ht="26" customHeight="1" x14ac:dyDescent="0.3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277</v>
      </c>
    </row>
    <row r="65" spans="1:16" ht="26" customHeight="1" x14ac:dyDescent="0.3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93</v>
      </c>
      <c r="C66" s="3" t="s">
        <v>124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97</v>
      </c>
      <c r="C70" s="3" t="s">
        <v>124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95</v>
      </c>
      <c r="C74" s="3" t="s">
        <v>124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ht="13" customHeight="1" x14ac:dyDescent="0.3">
      <c r="A113" s="4"/>
      <c r="B113" s="8" t="s">
        <v>84</v>
      </c>
      <c r="C113" s="3" t="s">
        <v>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273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274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272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102</v>
      </c>
      <c r="C117" s="3" t="s">
        <v>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273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274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272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273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274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272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3</v>
      </c>
      <c r="C125" s="3" t="s">
        <v>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273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274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272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2</v>
      </c>
      <c r="C129" s="3" t="s">
        <v>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273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274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272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99</v>
      </c>
      <c r="C133" s="3" t="s">
        <v>7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273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274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272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ht="13" customHeight="1" x14ac:dyDescent="0.3">
      <c r="A140" s="4"/>
      <c r="B140" s="8" t="s">
        <v>84</v>
      </c>
      <c r="C140" s="3" t="s">
        <v>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273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6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207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102</v>
      </c>
      <c r="C144" s="3" t="s">
        <v>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273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6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207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273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6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207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3</v>
      </c>
      <c r="C152" s="3" t="s">
        <v>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273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6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207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2</v>
      </c>
      <c r="C156" s="3" t="s">
        <v>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273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6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207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99</v>
      </c>
      <c r="C160" s="3" t="s">
        <v>7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273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6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207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ht="13" customHeight="1" x14ac:dyDescent="0.3">
      <c r="A167" s="4"/>
      <c r="B167" s="8" t="s">
        <v>81</v>
      </c>
      <c r="C167" s="3" t="s">
        <v>275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268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89</v>
      </c>
      <c r="C169" s="3" t="s">
        <v>275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268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275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268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ht="13" customHeight="1" x14ac:dyDescent="0.3">
      <c r="A176" s="82"/>
      <c r="B176" s="8" t="s">
        <v>93</v>
      </c>
      <c r="C176" s="3" t="s">
        <v>124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127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126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125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97</v>
      </c>
      <c r="C180" s="3" t="s">
        <v>124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127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126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125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95</v>
      </c>
      <c r="C184" s="3" t="s">
        <v>124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127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126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125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96</v>
      </c>
      <c r="C188" s="3" t="s">
        <v>124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127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126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125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84</v>
      </c>
      <c r="C192" s="3" t="s">
        <v>124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127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126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125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102</v>
      </c>
      <c r="C196" s="3" t="s">
        <v>124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127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126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125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124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127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126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125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2</v>
      </c>
      <c r="C204" s="3" t="s">
        <v>124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127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126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125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101</v>
      </c>
      <c r="C208" s="3" t="s">
        <v>124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127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126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125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ht="13" customHeight="1" x14ac:dyDescent="0.3">
      <c r="A215" s="4"/>
      <c r="C215" s="3" t="s">
        <v>124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127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126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125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245</v>
      </c>
      <c r="H220" s="92"/>
    </row>
    <row r="221" spans="1:9" ht="13" customHeight="1" x14ac:dyDescent="0.3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ht="13" customHeight="1" x14ac:dyDescent="0.3">
      <c r="A223" s="4"/>
      <c r="B223" s="8" t="s">
        <v>84</v>
      </c>
      <c r="C223" s="3" t="s">
        <v>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273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274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272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102</v>
      </c>
      <c r="C227" s="3" t="s">
        <v>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273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274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272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273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274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272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3</v>
      </c>
      <c r="C235" s="3" t="s">
        <v>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273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274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272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2</v>
      </c>
      <c r="C239" s="3" t="s">
        <v>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273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274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272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99</v>
      </c>
      <c r="C243" s="3" t="s">
        <v>7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273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274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272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ht="13" customHeight="1" x14ac:dyDescent="0.3">
      <c r="A250" s="4"/>
      <c r="B250" s="8" t="s">
        <v>84</v>
      </c>
      <c r="C250" s="3" t="s">
        <v>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273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6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207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102</v>
      </c>
      <c r="C254" s="3" t="s">
        <v>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273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6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207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273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6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207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3</v>
      </c>
      <c r="C262" s="3" t="s">
        <v>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273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6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207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2</v>
      </c>
      <c r="C266" s="3" t="s">
        <v>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273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6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207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99</v>
      </c>
      <c r="C270" s="3" t="s">
        <v>7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273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6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207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ht="13" customHeight="1" x14ac:dyDescent="0.3">
      <c r="A277" s="4"/>
      <c r="B277" s="8" t="s">
        <v>81</v>
      </c>
      <c r="C277" s="3" t="s">
        <v>275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268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89</v>
      </c>
      <c r="C279" s="3" t="s">
        <v>275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268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275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268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ht="13" customHeight="1" x14ac:dyDescent="0.3">
      <c r="A286" s="82"/>
      <c r="B286" s="8" t="s">
        <v>93</v>
      </c>
      <c r="C286" s="3" t="s">
        <v>124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127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126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125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97</v>
      </c>
      <c r="C290" s="3" t="s">
        <v>124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127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126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125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95</v>
      </c>
      <c r="C294" s="3" t="s">
        <v>124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127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126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125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96</v>
      </c>
      <c r="C298" s="3" t="s">
        <v>124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127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126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125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84</v>
      </c>
      <c r="C302" s="3" t="s">
        <v>124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127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126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125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102</v>
      </c>
      <c r="C306" s="3" t="s">
        <v>124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127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126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125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124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127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126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125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2</v>
      </c>
      <c r="C314" s="3" t="s">
        <v>124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127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126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125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101</v>
      </c>
      <c r="C318" s="3" t="s">
        <v>124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127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126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125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ht="13" customHeight="1" x14ac:dyDescent="0.3">
      <c r="A325" s="4"/>
      <c r="C325" s="3" t="s">
        <v>124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127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126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125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CVbq6+BEDcNDjUDj3AcOWpfWmuI1ule2FP1NgNwgwT3VJN4w7d/w1RoGPL/3/QhVi8HT9QeUE/tVOfbp/x5oyw==" saltValue="5vSZlRZvxoAJGAwHNKOxO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C29" sqref="C29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313</v>
      </c>
    </row>
    <row r="2" spans="1:7" ht="14.25" customHeight="1" x14ac:dyDescent="0.3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5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283</v>
      </c>
    </row>
    <row r="6" spans="1:7" ht="14.25" customHeight="1" x14ac:dyDescent="0.25">
      <c r="B6" s="5" t="s">
        <v>193</v>
      </c>
      <c r="C6" s="90">
        <v>1</v>
      </c>
      <c r="D6" s="90">
        <v>1</v>
      </c>
      <c r="E6" s="90">
        <f>IF(ISBLANK('Distribución estado nutricional'!$E$4),0.64, (0.64*SUM('Distribución estado nutricional'!$E$4:$E$5)/(1-0.64*SUM('Distribución estado nutricional'!$E$4:$E$5)))
/ (SUM('Distribución estado nutricional'!$E$4:$E$5)/(1-SUM('Distribución estado nutricional'!$E$4:$E$5))))</f>
        <v>0.61594475914423641</v>
      </c>
      <c r="F6" s="90">
        <f>IF(ISBLANK('Distribución estado nutricional'!$F$4),0.64, (0.64*SUM('Distribución estado nutricional'!$F$4:$F$5)/(1-0.64*SUM('Distribución estado nutricional'!$F$4:$F$5)))/ (SUM('Distribución estado nutricional'!$F$4:$F$5)/(1-SUM('Distribución estado nutricional'!$F$4:$F$5))))</f>
        <v>0.60519158962781516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0.86869131337813832</v>
      </c>
      <c r="F7" s="90">
        <f>IF(ISBLANK('Distribución estado nutricional'!$F$4),0.88, (0.88*SUM('Distribución estado nutricional'!$F$4:$F$5)/(1-0.88*SUM('Distribución estado nutricional'!$F$4:$F$5)))/ (SUM('Distribución estado nutricional'!$F$4:$F$5)/(1-SUM('Distribución estado nutricional'!$F$4:$F$5))))</f>
        <v>0.86344591462410236</v>
      </c>
      <c r="G7" s="90">
        <v>1</v>
      </c>
    </row>
    <row r="8" spans="1:7" ht="14.25" customHeight="1" x14ac:dyDescent="0.25">
      <c r="B8" s="5" t="s">
        <v>204</v>
      </c>
      <c r="C8" s="90">
        <v>1</v>
      </c>
      <c r="D8" s="90">
        <v>1</v>
      </c>
      <c r="E8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0.86869131337813832</v>
      </c>
      <c r="F8" s="90">
        <f>IF(ISBLANK('Distribución estado nutricional'!$F$4),0.88, (0.88*SUM('Distribución estado nutricional'!$F$4:$F$5)/(1-0.88*SUM('Distribución estado nutricional'!$F$4:$F$5)))/ (SUM('Distribución estado nutricional'!$F$4:$F$5)/(1-SUM('Distribución estado nutricional'!$F$4:$F$5))))</f>
        <v>0.86344591462410236</v>
      </c>
      <c r="G8" s="90">
        <v>1</v>
      </c>
    </row>
    <row r="9" spans="1:7" ht="14.25" customHeight="1" x14ac:dyDescent="0.25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307</v>
      </c>
    </row>
    <row r="12" spans="1:7" ht="14.25" customHeight="1" x14ac:dyDescent="0.3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314</v>
      </c>
    </row>
    <row r="15" spans="1:7" ht="14.25" customHeight="1" x14ac:dyDescent="0.3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310</v>
      </c>
    </row>
    <row r="20" spans="1:7" s="14" customFormat="1" ht="14.25" customHeight="1" x14ac:dyDescent="0.3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5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313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5">
      <c r="B26" s="11" t="s">
        <v>301</v>
      </c>
      <c r="C26" s="90" t="s">
        <v>8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287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284</v>
      </c>
    </row>
    <row r="29" spans="1:7" x14ac:dyDescent="0.25">
      <c r="B29" s="5" t="s">
        <v>315</v>
      </c>
      <c r="C29" s="90">
        <f t="shared" ref="C29:D32" si="0">IF(C6=1,1,C6*0.9)</f>
        <v>1</v>
      </c>
      <c r="D29" s="90">
        <f t="shared" si="0"/>
        <v>1</v>
      </c>
      <c r="E29" s="90">
        <f>IF(ISBLANK('Distribución estado nutricional'!E$4),0.44, (0.44*SUM('Distribución estado nutricional'!E$4:E$5)/(1-0.44*SUM('Distribución estado nutricional'!E$4:E$5)))/ (SUM('Distribución estado nutricional'!E$4:E$5)/(1-SUM('Distribución estado nutricional'!E$4:E$5))))</f>
        <v>0.41480045519567954</v>
      </c>
      <c r="F29" s="90">
        <f>IF(ISBLANK('Distribución estado nutricional'!F$4),0.44, (0.44*SUM('Distribución estado nutricional'!F$4:F$5)/(1-0.44*SUM('Distribución estado nutricional'!F$4:F$5)))/ (SUM('Distribución estado nutricional'!F$4:F$5)/(1-SUM('Distribución estado nutricional'!F$4:F$5))))</f>
        <v>0.4038661462088195</v>
      </c>
      <c r="G29" s="90">
        <f>IF(G6=1,1,G6*0.9)</f>
        <v>1</v>
      </c>
    </row>
    <row r="30" spans="1:7" x14ac:dyDescent="0.25">
      <c r="B30" s="5" t="s">
        <v>305</v>
      </c>
      <c r="C30" s="90">
        <f t="shared" si="0"/>
        <v>1</v>
      </c>
      <c r="D30" s="90">
        <f t="shared" si="0"/>
        <v>1</v>
      </c>
      <c r="E30" s="90">
        <f>IF(ISBLANK('Distribución estado nutricional'!E$4),0.85, (0.85*SUM('Distribución estado nutricional'!E$4:E$5)/(1-0.85*SUM('Distribución estado nutricional'!E$4:E$5)))/ (SUM('Distribución estado nutricional'!E$4:E$5)/(1-SUM('Distribución estado nutricional'!E$4:E$5))))</f>
        <v>0.83638977149604854</v>
      </c>
      <c r="F30" s="90">
        <f>IF(ISBLANK('Distribución estado nutricional'!F$4),0.85, (0.85*SUM('Distribución estado nutricional'!F$4:F$5)/(1-0.85*SUM('Distribución estado nutricional'!F$4:F$5)))/ (SUM('Distribución estado nutricional'!F$4:F$5)/(1-SUM('Distribución estado nutricional'!F$4:F$5))))</f>
        <v>0.83010638006683068</v>
      </c>
      <c r="G30" s="90">
        <f>IF(G7=1,1,G7*0.9)</f>
        <v>1</v>
      </c>
    </row>
    <row r="31" spans="1:7" x14ac:dyDescent="0.25">
      <c r="B31" s="5" t="s">
        <v>319</v>
      </c>
      <c r="C31" s="90">
        <f t="shared" si="0"/>
        <v>1</v>
      </c>
      <c r="D31" s="90">
        <f t="shared" si="0"/>
        <v>1</v>
      </c>
      <c r="E31" s="90">
        <f>IF(ISBLANK('Distribución estado nutricional'!E$4),0.85, (0.85*SUM('Distribución estado nutricional'!E$4:E$5)/(1-0.85*SUM('Distribución estado nutricional'!E$4:E$5)))/ (SUM('Distribución estado nutricional'!E$4:E$5)/(1-SUM('Distribución estado nutricional'!E$4:E$5))))</f>
        <v>0.83638977149604854</v>
      </c>
      <c r="F31" s="90">
        <f>IF(ISBLANK('Distribución estado nutricional'!F$4),0.85, (0.85*SUM('Distribución estado nutricional'!F$4:F$5)/(1-0.85*SUM('Distribución estado nutricional'!F$4:F$5)))/ (SUM('Distribución estado nutricional'!F$4:F$5)/(1-SUM('Distribución estado nutricional'!F$4:F$5))))</f>
        <v>0.83010638006683068</v>
      </c>
      <c r="G31" s="90">
        <f>IF(G8=1,1,G8*0.9)</f>
        <v>1</v>
      </c>
    </row>
    <row r="32" spans="1:7" x14ac:dyDescent="0.25">
      <c r="B32" s="5" t="s">
        <v>317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308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314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282</v>
      </c>
      <c r="B38" s="5" t="s">
        <v>295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105</v>
      </c>
      <c r="B40" s="11" t="s">
        <v>298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311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5">
      <c r="B44" s="11" t="s">
        <v>289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245</v>
      </c>
    </row>
    <row r="47" spans="1:7" ht="13" customHeight="1" x14ac:dyDescent="0.3">
      <c r="A47" s="67" t="s">
        <v>313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5">
      <c r="B49" s="11" t="s">
        <v>302</v>
      </c>
      <c r="C49" s="90" t="s">
        <v>8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288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285</v>
      </c>
    </row>
    <row r="52" spans="1:7" x14ac:dyDescent="0.25">
      <c r="B52" s="5" t="s">
        <v>316</v>
      </c>
      <c r="C52" s="90">
        <f t="shared" ref="C52:D55" si="3">IF(C6=1,1,C6*1.1)</f>
        <v>1</v>
      </c>
      <c r="D52" s="90">
        <f t="shared" si="3"/>
        <v>1</v>
      </c>
      <c r="E52" s="90">
        <f>IF(ISBLANK('Distribución estado nutricional'!E$4),0.92, (0.92*SUM('Distribución estado nutricional'!E$4:E$5)/(1-0.92*SUM('Distribución estado nutricional'!E$4:E$5)))/ (SUM('Distribución estado nutricional'!E$4:E$5)/(1-SUM('Distribución estado nutricional'!E$4:E$5))))</f>
        <v>0.91208428038761047</v>
      </c>
      <c r="F52" s="90">
        <f>IF(ISBLANK('Distribución estado nutricional'!F$4),0.92, (0.92*SUM('Distribución estado nutricional'!F$4:F$5)/(1-0.92*SUM('Distribución estado nutricional'!F$4:F$5)))/ (SUM('Distribución estado nutricional'!F$4:F$5)/(1-SUM('Distribución estado nutricional'!F$4:F$5))))</f>
        <v>0.90838950064803736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IF(ISBLANK('Distribución estado nutricional'!E$4),0.91, (0.91*SUM('Distribución estado nutricional'!E$4:E$5)/(1-0.91*SUM('Distribución estado nutricional'!E$4:E$5)))/ (SUM('Distribución estado nutricional'!E$4:E$5)/(1-SUM('Distribución estado nutricional'!E$4:E$5))))</f>
        <v>0.90120107421249362</v>
      </c>
      <c r="F53" s="90">
        <f>IF(ISBLANK('Distribución estado nutricional'!F$4),0.91, (0.91*SUM('Distribución estado nutricional'!F$4:F$5)/(1-0.91*SUM('Distribución estado nutricional'!F$4:F$5)))/ (SUM('Distribución estado nutricional'!F$4:F$5)/(1-SUM('Distribución estado nutricional'!F$4:F$5))))</f>
        <v>0.8971005135579353</v>
      </c>
      <c r="G53" s="90">
        <f>IF(G7=1,1,G7*1.1)</f>
        <v>1</v>
      </c>
    </row>
    <row r="54" spans="1:7" x14ac:dyDescent="0.25">
      <c r="B54" s="5" t="s">
        <v>320</v>
      </c>
      <c r="C54" s="90">
        <f t="shared" si="3"/>
        <v>1</v>
      </c>
      <c r="D54" s="90">
        <f t="shared" si="3"/>
        <v>1</v>
      </c>
      <c r="E54" s="90">
        <f>IF(ISBLANK('Distribución estado nutricional'!E$4),0.91, (0.91*SUM('Distribución estado nutricional'!E$4:E$5)/(1-0.91*SUM('Distribución estado nutricional'!E$4:E$5)))/ (SUM('Distribución estado nutricional'!E$4:E$5)/(1-SUM('Distribución estado nutricional'!E$4:E$5))))</f>
        <v>0.90120107421249362</v>
      </c>
      <c r="F54" s="90">
        <f>IF(ISBLANK('Distribución estado nutricional'!F$4),0.91, (0.91*SUM('Distribución estado nutricional'!F$4:F$5)/(1-0.91*SUM('Distribución estado nutricional'!F$4:F$5)))/ (SUM('Distribución estado nutricional'!F$4:F$5)/(1-SUM('Distribución estado nutricional'!F$4:F$5))))</f>
        <v>0.8971005135579353</v>
      </c>
      <c r="G54" s="90">
        <f>IF(G8=1,1,G8*1.1)</f>
        <v>1</v>
      </c>
    </row>
    <row r="55" spans="1:7" x14ac:dyDescent="0.25">
      <c r="B55" s="5" t="s">
        <v>318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309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314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282</v>
      </c>
      <c r="B61" s="5" t="s">
        <v>296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293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105</v>
      </c>
      <c r="B63" s="11" t="s">
        <v>299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312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5">
      <c r="B67" s="11" t="s">
        <v>290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C9CM+Jn3DWwDNf/2sqeDLGNJ3L3xvEEYszptho24XveKQ8/F9cIE/DeH7mBWu2JJZKFzM3GWtKvoG4ZZO4ngGQ==" saltValue="AV/RYaenPS0vrwucFpmp3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E28" sqref="E28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5">
      <c r="A2" s="5" t="s">
        <v>165</v>
      </c>
      <c r="B2" s="5" t="s">
        <v>322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178</v>
      </c>
      <c r="B4" s="5" t="s">
        <v>322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179</v>
      </c>
      <c r="B6" s="5" t="s">
        <v>322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191</v>
      </c>
      <c r="B12" s="5" t="s">
        <v>322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5">
      <c r="A17" s="5" t="s">
        <v>165</v>
      </c>
      <c r="B17" s="5" t="s">
        <v>322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178</v>
      </c>
      <c r="B19" s="5" t="s">
        <v>322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179</v>
      </c>
      <c r="B21" s="5" t="s">
        <v>322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180</v>
      </c>
      <c r="B23" s="5" t="s">
        <v>322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322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191</v>
      </c>
      <c r="B27" s="5" t="s">
        <v>322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245</v>
      </c>
    </row>
    <row r="31" spans="1:6" ht="15.75" customHeight="1" x14ac:dyDescent="0.3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5">
      <c r="A32" s="5" t="s">
        <v>165</v>
      </c>
      <c r="B32" s="5" t="s">
        <v>322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178</v>
      </c>
      <c r="B34" s="5" t="s">
        <v>322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179</v>
      </c>
      <c r="B36" s="5" t="s">
        <v>322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180</v>
      </c>
      <c r="B38" s="5" t="s">
        <v>322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322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191</v>
      </c>
      <c r="B42" s="5" t="s">
        <v>322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D5eP7Yr1hp/UgKlYzgCYePsvV1Exta9f82KmFccuTlaTz3un83EXduWTgPa2nGU0XAAv18WAKV+hAGs8JUuRrg==" saltValue="d0cxQ49HzETGw5IGvElVu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8" zoomScale="70" zoomScaleNormal="70" workbookViewId="0">
      <selection activeCell="E28" sqref="E28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ht="13" customHeight="1" x14ac:dyDescent="0.3">
      <c r="A2" s="4" t="s">
        <v>326</v>
      </c>
    </row>
    <row r="3" spans="1:15" x14ac:dyDescent="0.25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204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171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172</v>
      </c>
      <c r="C19" s="90">
        <v>1</v>
      </c>
      <c r="D19" s="90">
        <v>1</v>
      </c>
      <c r="E19" s="90">
        <f>IF(ISBLANK('Distribución estado nutricional'!E$14),0.72,(0.72*'Distribución estado nutricional'!E$14/(1-0.72*'Distribución estado nutricional'!E$14))
/ ('Distribución estado nutricional'!E$14/(1-'Distribución estado nutricional'!E$14)))</f>
        <v>0.59953505579223465</v>
      </c>
      <c r="F19" s="90">
        <f>IF(ISBLANK('Distribución estado nutricional'!F$14),0.72,(0.72*'Distribución estado nutricional'!F$14/(1-0.72*'Distribución estado nutricional'!F$14))
/ ('Distribución estado nutricional'!F$14/(1-'Distribución estado nutricional'!F$14)))</f>
        <v>0.66745110042274314</v>
      </c>
      <c r="G19" s="90">
        <f>IF(ISBLANK('Distribución estado nutricional'!G$14),0.72,(0.72*'Distribución estado nutricional'!G$14/(1-0.72*'Distribución estado nutricional'!G$14))
/ ('Distribución estado nutricional'!G$14/(1-'Distribución estado nutricional'!G$14)))</f>
        <v>0.66745110042274314</v>
      </c>
      <c r="H19" s="90">
        <f>IF(ISBLANK('Distribución estado nutricional'!H$14),0.72,(0.72*'Distribución estado nutricional'!H$14/(1-0.72*'Distribución estado nutricional'!H$14))
/ ('Distribución estado nutricional'!H$14/(1-'Distribución estado nutricional'!H$14)))</f>
        <v>0.64351191688734954</v>
      </c>
      <c r="I19" s="90">
        <f>IF(ISBLANK('Distribución estado nutricional'!I$14),0.72,(0.72*'Distribución estado nutricional'!I$14/(1-0.72*'Distribución estado nutricional'!I$14))
/ ('Distribución estado nutricional'!I$14/(1-'Distribución estado nutricional'!I$14)))</f>
        <v>0.64351191688734954</v>
      </c>
      <c r="J19" s="90">
        <f>IF(ISBLANK('Distribución estado nutricional'!J$14),0.72,(0.72*'Distribución estado nutricional'!J$14/(1-0.72*'Distribución estado nutricional'!J$14))
/ ('Distribución estado nutricional'!J$14/(1-'Distribución estado nutricional'!J$14)))</f>
        <v>0.64351191688734954</v>
      </c>
      <c r="K19" s="90">
        <f>IF(ISBLANK('Distribución estado nutricional'!K$14),0.72,(0.72*'Distribución estado nutricional'!K$14/(1-0.72*'Distribución estado nutricional'!K$14))
/ ('Distribución estado nutricional'!K$14/(1-'Distribución estado nutricional'!K$14)))</f>
        <v>0.64351191688734954</v>
      </c>
      <c r="L19" s="90">
        <f>IF(ISBLANK('Distribución estado nutricional'!L$14),0.72,(0.72*'Distribución estado nutricional'!L$14/(1-0.72*'Distribución estado nutricional'!L$14))
/ ('Distribución estado nutricional'!L$14/(1-'Distribución estado nutricional'!L$14)))</f>
        <v>0.64481428861376089</v>
      </c>
      <c r="M19" s="90">
        <f>IF(ISBLANK('Distribución estado nutricional'!M$14),0.72,(0.72*'Distribución estado nutricional'!M$14/(1-0.72*'Distribución estado nutricional'!M$14))
/ ('Distribución estado nutricional'!M$14/(1-'Distribución estado nutricional'!M$14)))</f>
        <v>0.64481428861376089</v>
      </c>
      <c r="N19" s="90">
        <f>IF(ISBLANK('Distribución estado nutricional'!N$14),0.72,(0.72*'Distribución estado nutricional'!N$14/(1-0.72*'Distribución estado nutricional'!N$14))
/ ('Distribución estado nutricional'!N$14/(1-'Distribución estado nutricional'!N$14)))</f>
        <v>0.64481428861376089</v>
      </c>
      <c r="O19" s="90">
        <f>IF(ISBLANK('Distribución estado nutricional'!O$14),0.72,(0.72*'Distribución estado nutricional'!O$14/(1-0.72*'Distribución estado nutricional'!O$14))
/ ('Distribución estado nutricional'!O$14/(1-'Distribución estado nutricional'!O$14)))</f>
        <v>0.64481428861376089</v>
      </c>
    </row>
    <row r="20" spans="1:15" x14ac:dyDescent="0.25">
      <c r="B20" s="5" t="s">
        <v>173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181</v>
      </c>
      <c r="C21" s="90">
        <v>1</v>
      </c>
      <c r="D21" s="90">
        <v>1</v>
      </c>
      <c r="E21" s="90">
        <f>IF(ISBLANK('Distribución estado nutricional'!E$14),0.8,(0.8*'Distribución estado nutricional'!E$14/(1-0.8*'Distribución estado nutricional'!E$14))
/ ('Distribución estado nutricional'!E$14/(1-'Distribución estado nutricional'!E$14)))</f>
        <v>0.69959309498981903</v>
      </c>
      <c r="F21" s="90">
        <f>IF(ISBLANK('Distribución estado nutricional'!F$14),0.8,(0.8*'Distribución estado nutricional'!F$14/(1-0.8*'Distribución estado nutricional'!F$14))
/ ('Distribución estado nutricional'!F$14/(1-'Distribución estado nutricional'!F$14)))</f>
        <v>0.75740632949665854</v>
      </c>
      <c r="G21" s="90">
        <f>IF(ISBLANK('Distribución estado nutricional'!G$14),0.8,(0.8*'Distribución estado nutricional'!G$14/(1-0.8*'Distribución estado nutricional'!G$14))
/ ('Distribución estado nutricional'!G$14/(1-'Distribución estado nutricional'!G$14)))</f>
        <v>0.75740632949665854</v>
      </c>
      <c r="H21" s="90">
        <f>IF(ISBLANK('Distribución estado nutricional'!H$14),0.8,(0.8*'Distribución estado nutricional'!H$14/(1-0.8*'Distribución estado nutricional'!H$14))
/ ('Distribución estado nutricional'!H$14/(1-'Distribución estado nutricional'!H$14)))</f>
        <v>0.73739495798319321</v>
      </c>
      <c r="I21" s="90">
        <f>IF(ISBLANK('Distribución estado nutricional'!I$14),0.8,(0.8*'Distribución estado nutricional'!I$14/(1-0.8*'Distribución estado nutricional'!I$14))
/ ('Distribución estado nutricional'!I$14/(1-'Distribución estado nutricional'!I$14)))</f>
        <v>0.73739495798319321</v>
      </c>
      <c r="J21" s="90">
        <f>IF(ISBLANK('Distribución estado nutricional'!J$14),0.8,(0.8*'Distribución estado nutricional'!J$14/(1-0.8*'Distribución estado nutricional'!J$14))
/ ('Distribución estado nutricional'!J$14/(1-'Distribución estado nutricional'!J$14)))</f>
        <v>0.73739495798319321</v>
      </c>
      <c r="K21" s="90">
        <f>IF(ISBLANK('Distribución estado nutricional'!K$14),0.8,(0.8*'Distribución estado nutricional'!K$14/(1-0.8*'Distribución estado nutricional'!K$14))
/ ('Distribución estado nutricional'!K$14/(1-'Distribución estado nutricional'!K$14)))</f>
        <v>0.73739495798319321</v>
      </c>
      <c r="L21" s="90">
        <f>IF(ISBLANK('Distribución estado nutricional'!L$14),0.8,(0.8*'Distribución estado nutricional'!L$14/(1-0.8*'Distribución estado nutricional'!L$14))
/ ('Distribución estado nutricional'!L$14/(1-'Distribución estado nutricional'!L$14)))</f>
        <v>0.73849372384937229</v>
      </c>
      <c r="M21" s="90">
        <f>IF(ISBLANK('Distribución estado nutricional'!M$14),0.8,(0.8*'Distribución estado nutricional'!M$14/(1-0.8*'Distribución estado nutricional'!M$14))
/ ('Distribución estado nutricional'!M$14/(1-'Distribución estado nutricional'!M$14)))</f>
        <v>0.73849372384937229</v>
      </c>
      <c r="N21" s="90">
        <f>IF(ISBLANK('Distribución estado nutricional'!N$14),0.8,(0.8*'Distribución estado nutricional'!N$14/(1-0.8*'Distribución estado nutricional'!N$14))
/ ('Distribución estado nutricional'!N$14/(1-'Distribución estado nutricional'!N$14)))</f>
        <v>0.73849372384937229</v>
      </c>
      <c r="O21" s="90">
        <f>IF(ISBLANK('Distribución estado nutricional'!O$14),0.8,(0.8*'Distribución estado nutricional'!O$14/(1-0.8*'Distribución estado nutricional'!O$14))
/ ('Distribución estado nutricional'!O$14/(1-'Distribución estado nutricional'!O$14)))</f>
        <v>0.73849372384937229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ht="13" customHeight="1" x14ac:dyDescent="0.3">
      <c r="A25" s="4" t="s">
        <v>327</v>
      </c>
    </row>
    <row r="26" spans="1:15" x14ac:dyDescent="0.25">
      <c r="B26" s="11" t="s">
        <v>169</v>
      </c>
      <c r="C26" s="90">
        <v>0.4</v>
      </c>
      <c r="D26" s="90">
        <v>0.4</v>
      </c>
      <c r="E26" s="90">
        <f t="shared" ref="E26:O26" si="0">IF(E3=1,1,E3*0.9)</f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174</v>
      </c>
      <c r="C27" s="90">
        <f t="shared" ref="C27:G33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2">IF(L4=1,1,L4*0.9)</f>
        <v>1</v>
      </c>
      <c r="M27" s="90">
        <f t="shared" si="2"/>
        <v>1</v>
      </c>
      <c r="N27" s="90">
        <f t="shared" si="2"/>
        <v>1</v>
      </c>
      <c r="O27" s="90">
        <f t="shared" si="2"/>
        <v>1</v>
      </c>
    </row>
    <row r="28" spans="1:15" x14ac:dyDescent="0.25">
      <c r="B28" s="11" t="s">
        <v>175</v>
      </c>
      <c r="C28" s="90">
        <f t="shared" si="1"/>
        <v>1</v>
      </c>
      <c r="D28" s="90">
        <f t="shared" si="1"/>
        <v>1</v>
      </c>
      <c r="E28" s="90">
        <f t="shared" si="1"/>
        <v>1</v>
      </c>
      <c r="F28" s="90">
        <f t="shared" si="1"/>
        <v>1</v>
      </c>
      <c r="G28" s="90">
        <f t="shared" si="1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176</v>
      </c>
      <c r="C29" s="90">
        <f t="shared" si="1"/>
        <v>1</v>
      </c>
      <c r="D29" s="90">
        <f t="shared" si="1"/>
        <v>1</v>
      </c>
      <c r="E29" s="90">
        <f t="shared" si="1"/>
        <v>1</v>
      </c>
      <c r="F29" s="90">
        <f t="shared" si="1"/>
        <v>1</v>
      </c>
      <c r="G29" s="90">
        <f t="shared" si="1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2"/>
        <v>1</v>
      </c>
      <c r="M29" s="90">
        <f t="shared" si="2"/>
        <v>1</v>
      </c>
      <c r="N29" s="90">
        <f t="shared" si="2"/>
        <v>1</v>
      </c>
      <c r="O29" s="90">
        <f t="shared" si="2"/>
        <v>1</v>
      </c>
    </row>
    <row r="30" spans="1:15" x14ac:dyDescent="0.25">
      <c r="B30" s="11" t="s">
        <v>177</v>
      </c>
      <c r="C30" s="90">
        <f t="shared" si="1"/>
        <v>1</v>
      </c>
      <c r="D30" s="90">
        <f t="shared" si="1"/>
        <v>1</v>
      </c>
      <c r="E30" s="90">
        <f t="shared" si="1"/>
        <v>1</v>
      </c>
      <c r="F30" s="90">
        <f t="shared" si="1"/>
        <v>1</v>
      </c>
      <c r="G30" s="90">
        <f t="shared" si="1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2"/>
        <v>1</v>
      </c>
      <c r="M30" s="90">
        <f t="shared" si="2"/>
        <v>1</v>
      </c>
      <c r="N30" s="90">
        <f t="shared" si="2"/>
        <v>1</v>
      </c>
      <c r="O30" s="90">
        <f t="shared" si="2"/>
        <v>1</v>
      </c>
    </row>
    <row r="31" spans="1:15" x14ac:dyDescent="0.25">
      <c r="B31" s="5" t="s">
        <v>178</v>
      </c>
      <c r="C31" s="90">
        <f t="shared" si="1"/>
        <v>1</v>
      </c>
      <c r="D31" s="90">
        <f t="shared" si="1"/>
        <v>1</v>
      </c>
      <c r="E31" s="90">
        <f t="shared" si="1"/>
        <v>1</v>
      </c>
      <c r="F31" s="90">
        <f t="shared" si="1"/>
        <v>1</v>
      </c>
      <c r="G31" s="90">
        <f t="shared" si="1"/>
        <v>1</v>
      </c>
      <c r="H31" s="90">
        <f t="shared" ref="H31:K34" si="3">IF(H8=1,1,H8*0.9)</f>
        <v>1</v>
      </c>
      <c r="I31" s="90">
        <f t="shared" si="3"/>
        <v>1</v>
      </c>
      <c r="J31" s="90">
        <f t="shared" si="3"/>
        <v>1</v>
      </c>
      <c r="K31" s="90">
        <f t="shared" si="3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179</v>
      </c>
      <c r="C32" s="90">
        <f t="shared" si="1"/>
        <v>1</v>
      </c>
      <c r="D32" s="90">
        <f t="shared" si="1"/>
        <v>1</v>
      </c>
      <c r="E32" s="90">
        <f t="shared" si="1"/>
        <v>1</v>
      </c>
      <c r="F32" s="90">
        <f t="shared" si="1"/>
        <v>1</v>
      </c>
      <c r="G32" s="90">
        <f t="shared" si="1"/>
        <v>1</v>
      </c>
      <c r="H32" s="90">
        <f t="shared" si="3"/>
        <v>1</v>
      </c>
      <c r="I32" s="90">
        <f t="shared" si="3"/>
        <v>1</v>
      </c>
      <c r="J32" s="90">
        <f t="shared" si="3"/>
        <v>1</v>
      </c>
      <c r="K32" s="90">
        <f t="shared" si="3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180</v>
      </c>
      <c r="C33" s="90">
        <f t="shared" si="1"/>
        <v>1</v>
      </c>
      <c r="D33" s="90">
        <f t="shared" si="1"/>
        <v>1</v>
      </c>
      <c r="E33" s="90">
        <f t="shared" si="1"/>
        <v>1</v>
      </c>
      <c r="F33" s="90">
        <f t="shared" si="1"/>
        <v>1</v>
      </c>
      <c r="G33" s="90">
        <f t="shared" si="1"/>
        <v>1</v>
      </c>
      <c r="H33" s="90">
        <f t="shared" si="3"/>
        <v>1</v>
      </c>
      <c r="I33" s="90">
        <f t="shared" si="3"/>
        <v>1</v>
      </c>
      <c r="J33" s="90">
        <f t="shared" si="3"/>
        <v>1</v>
      </c>
      <c r="K33" s="90">
        <f t="shared" si="3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184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3"/>
        <v>1</v>
      </c>
      <c r="I34" s="90">
        <f t="shared" si="3"/>
        <v>1</v>
      </c>
      <c r="J34" s="90">
        <f t="shared" si="3"/>
        <v>1</v>
      </c>
      <c r="K34" s="90">
        <f t="shared" si="3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185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190</v>
      </c>
      <c r="C36" s="90">
        <f t="shared" ref="C36:D38" si="4">IF(C13=1,1,C13*0.9)</f>
        <v>1</v>
      </c>
      <c r="D36" s="90">
        <f t="shared" si="4"/>
        <v>1</v>
      </c>
      <c r="E36" s="90">
        <v>0.62</v>
      </c>
      <c r="F36" s="90">
        <v>0.62</v>
      </c>
      <c r="G36" s="90">
        <v>0.62</v>
      </c>
      <c r="H36" s="90">
        <f t="shared" ref="H36:O36" si="5">IF(H13=1,1,H13*0.9)</f>
        <v>1</v>
      </c>
      <c r="I36" s="90">
        <f t="shared" si="5"/>
        <v>1</v>
      </c>
      <c r="J36" s="90">
        <f t="shared" si="5"/>
        <v>1</v>
      </c>
      <c r="K36" s="90">
        <f t="shared" si="5"/>
        <v>1</v>
      </c>
      <c r="L36" s="90">
        <f t="shared" si="5"/>
        <v>1</v>
      </c>
      <c r="M36" s="90">
        <f t="shared" si="5"/>
        <v>1</v>
      </c>
      <c r="N36" s="90">
        <f t="shared" si="5"/>
        <v>1</v>
      </c>
      <c r="O36" s="90">
        <f t="shared" si="5"/>
        <v>1</v>
      </c>
    </row>
    <row r="37" spans="1:15" x14ac:dyDescent="0.25">
      <c r="B37" s="11" t="s">
        <v>191</v>
      </c>
      <c r="C37" s="90">
        <f t="shared" si="4"/>
        <v>1</v>
      </c>
      <c r="D37" s="90">
        <f t="shared" si="4"/>
        <v>1</v>
      </c>
      <c r="E37" s="90">
        <f t="shared" ref="E37:K37" si="6">IF(E14=1,1,E14*0.9)</f>
        <v>1</v>
      </c>
      <c r="F37" s="90">
        <f t="shared" si="6"/>
        <v>1</v>
      </c>
      <c r="G37" s="90">
        <f t="shared" si="6"/>
        <v>1</v>
      </c>
      <c r="H37" s="90">
        <f t="shared" si="6"/>
        <v>1</v>
      </c>
      <c r="I37" s="90">
        <f t="shared" si="6"/>
        <v>1</v>
      </c>
      <c r="J37" s="90">
        <f t="shared" si="6"/>
        <v>1</v>
      </c>
      <c r="K37" s="90">
        <f t="shared" si="6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204</v>
      </c>
      <c r="C38" s="90">
        <f t="shared" si="4"/>
        <v>1</v>
      </c>
      <c r="D38" s="90">
        <f t="shared" si="4"/>
        <v>1</v>
      </c>
      <c r="E38" s="90">
        <v>0.3</v>
      </c>
      <c r="F38" s="90">
        <v>0.3</v>
      </c>
      <c r="G38" s="90">
        <f t="shared" ref="G38:O38" si="7">IF(G15=1,1,G15*0.9)</f>
        <v>1</v>
      </c>
      <c r="H38" s="90">
        <f t="shared" si="7"/>
        <v>1</v>
      </c>
      <c r="I38" s="90">
        <f t="shared" si="7"/>
        <v>1</v>
      </c>
      <c r="J38" s="90">
        <f t="shared" si="7"/>
        <v>1</v>
      </c>
      <c r="K38" s="90">
        <f t="shared" si="7"/>
        <v>1</v>
      </c>
      <c r="L38" s="90">
        <f t="shared" si="7"/>
        <v>1</v>
      </c>
      <c r="M38" s="90">
        <f t="shared" si="7"/>
        <v>1</v>
      </c>
      <c r="N38" s="90">
        <f t="shared" si="7"/>
        <v>1</v>
      </c>
      <c r="O38" s="90">
        <f t="shared" si="7"/>
        <v>1</v>
      </c>
    </row>
    <row r="40" spans="1:15" ht="13" customHeight="1" x14ac:dyDescent="0.3">
      <c r="A40" s="4" t="s">
        <v>324</v>
      </c>
      <c r="B40" s="11"/>
    </row>
    <row r="41" spans="1:15" x14ac:dyDescent="0.25">
      <c r="B41" s="5" t="s">
        <v>171</v>
      </c>
      <c r="C41" s="90">
        <f t="shared" ref="C41:O41" si="8">IF(C18=1,1,C18*0.9)</f>
        <v>1</v>
      </c>
      <c r="D41" s="90">
        <f t="shared" si="8"/>
        <v>1</v>
      </c>
      <c r="E41" s="90">
        <f t="shared" si="8"/>
        <v>1</v>
      </c>
      <c r="F41" s="90">
        <f t="shared" si="8"/>
        <v>1</v>
      </c>
      <c r="G41" s="90">
        <f t="shared" si="8"/>
        <v>1</v>
      </c>
      <c r="H41" s="90">
        <f t="shared" si="8"/>
        <v>1</v>
      </c>
      <c r="I41" s="90">
        <f t="shared" si="8"/>
        <v>1</v>
      </c>
      <c r="J41" s="90">
        <f t="shared" si="8"/>
        <v>1</v>
      </c>
      <c r="K41" s="90">
        <f t="shared" si="8"/>
        <v>1</v>
      </c>
      <c r="L41" s="90">
        <f t="shared" si="8"/>
        <v>1</v>
      </c>
      <c r="M41" s="90">
        <f t="shared" si="8"/>
        <v>1</v>
      </c>
      <c r="N41" s="90">
        <f t="shared" si="8"/>
        <v>1</v>
      </c>
      <c r="O41" s="90">
        <f t="shared" si="8"/>
        <v>1</v>
      </c>
    </row>
    <row r="42" spans="1:15" x14ac:dyDescent="0.25">
      <c r="B42" s="5" t="s">
        <v>172</v>
      </c>
      <c r="C42" s="90">
        <f t="shared" ref="C42:D44" si="9">IF(C19=1,1,C19*0.9)</f>
        <v>1</v>
      </c>
      <c r="D42" s="90">
        <f t="shared" si="9"/>
        <v>1</v>
      </c>
      <c r="E42" s="90">
        <f>IF(ISBLANK('Distribución estado nutricional'!E$14),0.54,(0.54*'Distribución estado nutricional'!E$14/(1-0.54*'Distribución estado nutricional'!E$14))
/ ('Distribución estado nutricional'!E$14/(1-'Distribución estado nutricional'!E$14)))</f>
        <v>0.40598442480542019</v>
      </c>
      <c r="F42" s="90">
        <f>IF(ISBLANK('Distribución estado nutricional'!F$14),0.54,(0.54*'Distribución estado nutricional'!F$14/(1-0.54*'Distribución estado nutricional'!F$14))
/ ('Distribución estado nutricional'!F$14/(1-'Distribución estado nutricional'!F$14)))</f>
        <v>0.47815398108960788</v>
      </c>
      <c r="G42" s="90">
        <f>IF(ISBLANK('Distribución estado nutricional'!G$14),0.54,(0.54*'Distribución estado nutricional'!G$14/(1-0.54*'Distribución estado nutricional'!G$14))
/ ('Distribución estado nutricional'!G$14/(1-'Distribución estado nutricional'!G$14)))</f>
        <v>0.47815398108960788</v>
      </c>
      <c r="H42" s="90">
        <f>IF(ISBLANK('Distribución estado nutricional'!H$14),0.54,(0.54*'Distribución estado nutricional'!H$14/(1-0.54*'Distribución estado nutricional'!H$14))
/ ('Distribución estado nutricional'!H$14/(1-'Distribución estado nutricional'!H$14)))</f>
        <v>0.4517805215235734</v>
      </c>
      <c r="I42" s="90">
        <f>IF(ISBLANK('Distribución estado nutricional'!I$14),0.54,(0.54*'Distribución estado nutricional'!I$14/(1-0.54*'Distribución estado nutricional'!I$14))
/ ('Distribución estado nutricional'!I$14/(1-'Distribución estado nutricional'!I$14)))</f>
        <v>0.4517805215235734</v>
      </c>
      <c r="J42" s="90">
        <f>IF(ISBLANK('Distribución estado nutricional'!J$14),0.54,(0.54*'Distribución estado nutricional'!J$14/(1-0.54*'Distribución estado nutricional'!J$14))
/ ('Distribución estado nutricional'!J$14/(1-'Distribución estado nutricional'!J$14)))</f>
        <v>0.4517805215235734</v>
      </c>
      <c r="K42" s="90">
        <f>IF(ISBLANK('Distribución estado nutricional'!K$14),0.54,(0.54*'Distribución estado nutricional'!K$14/(1-0.54*'Distribución estado nutricional'!K$14))
/ ('Distribución estado nutricional'!K$14/(1-'Distribución estado nutricional'!K$14)))</f>
        <v>0.4517805215235734</v>
      </c>
      <c r="L42" s="90">
        <f>IF(ISBLANK('Distribución estado nutricional'!L$14),0.54,(0.54*'Distribución estado nutricional'!L$14/(1-0.54*'Distribución estado nutricional'!L$14))
/ ('Distribución estado nutricional'!L$14/(1-'Distribución estado nutricional'!L$14)))</f>
        <v>0.45318815082497266</v>
      </c>
      <c r="M42" s="90">
        <f>IF(ISBLANK('Distribución estado nutricional'!M$14),0.54,(0.54*'Distribución estado nutricional'!M$14/(1-0.54*'Distribución estado nutricional'!M$14))
/ ('Distribución estado nutricional'!M$14/(1-'Distribución estado nutricional'!M$14)))</f>
        <v>0.45318815082497266</v>
      </c>
      <c r="N42" s="90">
        <f>IF(ISBLANK('Distribución estado nutricional'!N$14),0.54,(0.54*'Distribución estado nutricional'!N$14/(1-0.54*'Distribución estado nutricional'!N$14))
/ ('Distribución estado nutricional'!N$14/(1-'Distribución estado nutricional'!N$14)))</f>
        <v>0.45318815082497266</v>
      </c>
      <c r="O42" s="90">
        <f>IF(ISBLANK('Distribución estado nutricional'!O$14),0.54,(0.54*'Distribución estado nutricional'!O$14/(1-0.54*'Distribución estado nutricional'!O$14))
/ ('Distribución estado nutricional'!O$14/(1-'Distribución estado nutricional'!O$14)))</f>
        <v>0.45318815082497266</v>
      </c>
    </row>
    <row r="43" spans="1:15" x14ac:dyDescent="0.25">
      <c r="B43" s="5" t="s">
        <v>173</v>
      </c>
      <c r="C43" s="90">
        <f t="shared" si="9"/>
        <v>1</v>
      </c>
      <c r="D43" s="90">
        <f t="shared" si="9"/>
        <v>1</v>
      </c>
      <c r="E43" s="90">
        <f t="shared" ref="E43:O43" si="10">IF(E20=1,1,E20*0.9)</f>
        <v>1</v>
      </c>
      <c r="F43" s="90">
        <f t="shared" si="10"/>
        <v>1</v>
      </c>
      <c r="G43" s="90">
        <f t="shared" si="10"/>
        <v>1</v>
      </c>
      <c r="H43" s="90">
        <f t="shared" si="10"/>
        <v>1</v>
      </c>
      <c r="I43" s="90">
        <f t="shared" si="10"/>
        <v>1</v>
      </c>
      <c r="J43" s="90">
        <f t="shared" si="10"/>
        <v>1</v>
      </c>
      <c r="K43" s="90">
        <f t="shared" si="10"/>
        <v>1</v>
      </c>
      <c r="L43" s="90">
        <f t="shared" si="10"/>
        <v>1</v>
      </c>
      <c r="M43" s="90">
        <f t="shared" si="10"/>
        <v>1</v>
      </c>
      <c r="N43" s="90">
        <f t="shared" si="10"/>
        <v>1</v>
      </c>
      <c r="O43" s="90">
        <f t="shared" si="10"/>
        <v>1</v>
      </c>
    </row>
    <row r="44" spans="1:15" x14ac:dyDescent="0.25">
      <c r="B44" s="5" t="s">
        <v>181</v>
      </c>
      <c r="C44" s="90">
        <f t="shared" si="9"/>
        <v>1</v>
      </c>
      <c r="D44" s="90">
        <f t="shared" si="9"/>
        <v>1</v>
      </c>
      <c r="E44" s="90">
        <f>IF(ISBLANK('Distribución estado nutricional'!E$14),0.7,(0.7*'Distribución estado nutricional'!E$14/(1-0.7*'Distribución estado nutricional'!E$14))
/ ('Distribución estado nutricional'!E$14/(1-'Distribución estado nutricional'!E$14)))</f>
        <v>0.57599762156922218</v>
      </c>
      <c r="F44" s="90">
        <f>IF(ISBLANK('Distribución estado nutricional'!F$14),0.7,(0.7*'Distribución estado nutricional'!F$14/(1-0.7*'Distribución estado nutricional'!F$14))
/ ('Distribución estado nutricional'!F$14/(1-'Distribución estado nutricional'!F$14)))</f>
        <v>0.64554544458362129</v>
      </c>
      <c r="G44" s="90">
        <f>IF(ISBLANK('Distribución estado nutricional'!G$14),0.7,(0.7*'Distribución estado nutricional'!G$14/(1-0.7*'Distribución estado nutricional'!G$14))
/ ('Distribución estado nutricional'!G$14/(1-'Distribución estado nutricional'!G$14)))</f>
        <v>0.64554544458362129</v>
      </c>
      <c r="H44" s="90">
        <f>IF(ISBLANK('Distribución estado nutricional'!H$14),0.7,(0.7*'Distribución estado nutricional'!H$14/(1-0.7*'Distribución estado nutricional'!H$14))
/ ('Distribución estado nutricional'!H$14/(1-'Distribución estado nutricional'!H$14)))</f>
        <v>0.62092494313874136</v>
      </c>
      <c r="I44" s="90">
        <f>IF(ISBLANK('Distribución estado nutricional'!I$14),0.7,(0.7*'Distribución estado nutricional'!I$14/(1-0.7*'Distribución estado nutricional'!I$14))
/ ('Distribución estado nutricional'!I$14/(1-'Distribución estado nutricional'!I$14)))</f>
        <v>0.62092494313874136</v>
      </c>
      <c r="J44" s="90">
        <f>IF(ISBLANK('Distribución estado nutricional'!J$14),0.7,(0.7*'Distribución estado nutricional'!J$14/(1-0.7*'Distribución estado nutricional'!J$14))
/ ('Distribución estado nutricional'!J$14/(1-'Distribución estado nutricional'!J$14)))</f>
        <v>0.62092494313874136</v>
      </c>
      <c r="K44" s="90">
        <f>IF(ISBLANK('Distribución estado nutricional'!K$14),0.7,(0.7*'Distribución estado nutricional'!K$14/(1-0.7*'Distribución estado nutricional'!K$14))
/ ('Distribución estado nutricional'!K$14/(1-'Distribución estado nutricional'!K$14)))</f>
        <v>0.62092494313874136</v>
      </c>
      <c r="L44" s="90">
        <f>IF(ISBLANK('Distribución estado nutricional'!L$14),0.7,(0.7*'Distribución estado nutricional'!L$14/(1-0.7*'Distribución estado nutricional'!L$14))
/ ('Distribución estado nutricional'!L$14/(1-'Distribución estado nutricional'!L$14)))</f>
        <v>0.62226139511458067</v>
      </c>
      <c r="M44" s="90">
        <f>IF(ISBLANK('Distribución estado nutricional'!M$14),0.7,(0.7*'Distribución estado nutricional'!M$14/(1-0.7*'Distribución estado nutricional'!M$14))
/ ('Distribución estado nutricional'!M$14/(1-'Distribución estado nutricional'!M$14)))</f>
        <v>0.62226139511458067</v>
      </c>
      <c r="N44" s="90">
        <f>IF(ISBLANK('Distribución estado nutricional'!N$14),0.7,(0.7*'Distribución estado nutricional'!N$14/(1-0.7*'Distribución estado nutricional'!N$14))
/ ('Distribución estado nutricional'!N$14/(1-'Distribución estado nutricional'!N$14)))</f>
        <v>0.62226139511458067</v>
      </c>
      <c r="O44" s="90">
        <f>IF(ISBLANK('Distribución estado nutricional'!O$14),0.7,(0.7*'Distribución estado nutricional'!O$14/(1-0.7*'Distribución estado nutricional'!O$14))
/ ('Distribución estado nutricional'!O$14/(1-'Distribución estado nutricional'!O$14)))</f>
        <v>0.62226139511458067</v>
      </c>
    </row>
    <row r="46" spans="1:15" s="92" customFormat="1" ht="13" customHeight="1" x14ac:dyDescent="0.3">
      <c r="A46" s="92" t="s">
        <v>245</v>
      </c>
    </row>
    <row r="47" spans="1:15" ht="26" customHeight="1" x14ac:dyDescent="0.3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ht="13" customHeight="1" x14ac:dyDescent="0.3">
      <c r="A48" s="4" t="s">
        <v>328</v>
      </c>
    </row>
    <row r="49" spans="1:15" x14ac:dyDescent="0.25">
      <c r="B49" s="11" t="s">
        <v>169</v>
      </c>
      <c r="C49" s="90">
        <v>0.7</v>
      </c>
      <c r="D49" s="90">
        <v>0.7</v>
      </c>
      <c r="E49" s="90">
        <f t="shared" ref="E49:O49" si="11">IF(E3=1,1,E3*1.05)</f>
        <v>1</v>
      </c>
      <c r="F49" s="90">
        <f t="shared" si="11"/>
        <v>1</v>
      </c>
      <c r="G49" s="90">
        <f t="shared" si="11"/>
        <v>1</v>
      </c>
      <c r="H49" s="90">
        <f t="shared" si="11"/>
        <v>1</v>
      </c>
      <c r="I49" s="90">
        <f t="shared" si="11"/>
        <v>1</v>
      </c>
      <c r="J49" s="90">
        <f t="shared" si="11"/>
        <v>1</v>
      </c>
      <c r="K49" s="90">
        <f t="shared" si="11"/>
        <v>1</v>
      </c>
      <c r="L49" s="90">
        <f t="shared" si="11"/>
        <v>1</v>
      </c>
      <c r="M49" s="90">
        <f t="shared" si="11"/>
        <v>1</v>
      </c>
      <c r="N49" s="90">
        <f t="shared" si="11"/>
        <v>1</v>
      </c>
      <c r="O49" s="90">
        <f t="shared" si="11"/>
        <v>1</v>
      </c>
    </row>
    <row r="50" spans="1:15" x14ac:dyDescent="0.25">
      <c r="B50" s="11" t="s">
        <v>174</v>
      </c>
      <c r="C50" s="90">
        <f t="shared" ref="C50:G56" si="12">IF(C4=1,1,C4*1.05)</f>
        <v>1</v>
      </c>
      <c r="D50" s="90">
        <f t="shared" si="12"/>
        <v>1</v>
      </c>
      <c r="E50" s="90">
        <f t="shared" si="12"/>
        <v>1</v>
      </c>
      <c r="F50" s="90">
        <f t="shared" si="12"/>
        <v>1</v>
      </c>
      <c r="G50" s="90">
        <f t="shared" si="12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3">IF(L4=1,1,L4*1.05)</f>
        <v>1</v>
      </c>
      <c r="M50" s="90">
        <f t="shared" si="13"/>
        <v>1</v>
      </c>
      <c r="N50" s="90">
        <f t="shared" si="13"/>
        <v>1</v>
      </c>
      <c r="O50" s="90">
        <f t="shared" si="13"/>
        <v>1</v>
      </c>
    </row>
    <row r="51" spans="1:15" x14ac:dyDescent="0.25">
      <c r="B51" s="11" t="s">
        <v>175</v>
      </c>
      <c r="C51" s="90">
        <f t="shared" si="12"/>
        <v>1</v>
      </c>
      <c r="D51" s="90">
        <f t="shared" si="12"/>
        <v>1</v>
      </c>
      <c r="E51" s="90">
        <f t="shared" si="12"/>
        <v>1</v>
      </c>
      <c r="F51" s="90">
        <f t="shared" si="12"/>
        <v>1</v>
      </c>
      <c r="G51" s="90">
        <f t="shared" si="12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3"/>
        <v>1</v>
      </c>
      <c r="M51" s="90">
        <f t="shared" si="13"/>
        <v>1</v>
      </c>
      <c r="N51" s="90">
        <f t="shared" si="13"/>
        <v>1</v>
      </c>
      <c r="O51" s="90">
        <f t="shared" si="13"/>
        <v>1</v>
      </c>
    </row>
    <row r="52" spans="1:15" x14ac:dyDescent="0.25">
      <c r="B52" s="11" t="s">
        <v>176</v>
      </c>
      <c r="C52" s="90">
        <f t="shared" si="12"/>
        <v>1</v>
      </c>
      <c r="D52" s="90">
        <f t="shared" si="12"/>
        <v>1</v>
      </c>
      <c r="E52" s="90">
        <f t="shared" si="12"/>
        <v>1</v>
      </c>
      <c r="F52" s="90">
        <f t="shared" si="12"/>
        <v>1</v>
      </c>
      <c r="G52" s="90">
        <f t="shared" si="12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3"/>
        <v>1</v>
      </c>
      <c r="M52" s="90">
        <f t="shared" si="13"/>
        <v>1</v>
      </c>
      <c r="N52" s="90">
        <f t="shared" si="13"/>
        <v>1</v>
      </c>
      <c r="O52" s="90">
        <f t="shared" si="13"/>
        <v>1</v>
      </c>
    </row>
    <row r="53" spans="1:15" x14ac:dyDescent="0.25">
      <c r="B53" s="11" t="s">
        <v>177</v>
      </c>
      <c r="C53" s="90">
        <f t="shared" si="12"/>
        <v>1</v>
      </c>
      <c r="D53" s="90">
        <f t="shared" si="12"/>
        <v>1</v>
      </c>
      <c r="E53" s="90">
        <f t="shared" si="12"/>
        <v>1</v>
      </c>
      <c r="F53" s="90">
        <f t="shared" si="12"/>
        <v>1</v>
      </c>
      <c r="G53" s="90">
        <f t="shared" si="12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3"/>
        <v>1</v>
      </c>
      <c r="M53" s="90">
        <f t="shared" si="13"/>
        <v>1</v>
      </c>
      <c r="N53" s="90">
        <f t="shared" si="13"/>
        <v>1</v>
      </c>
      <c r="O53" s="90">
        <f t="shared" si="13"/>
        <v>1</v>
      </c>
    </row>
    <row r="54" spans="1:15" x14ac:dyDescent="0.25">
      <c r="B54" s="5" t="s">
        <v>178</v>
      </c>
      <c r="C54" s="90">
        <f t="shared" si="12"/>
        <v>1</v>
      </c>
      <c r="D54" s="90">
        <f t="shared" si="12"/>
        <v>1</v>
      </c>
      <c r="E54" s="90">
        <f t="shared" si="12"/>
        <v>1</v>
      </c>
      <c r="F54" s="90">
        <f t="shared" si="12"/>
        <v>1</v>
      </c>
      <c r="G54" s="90">
        <f t="shared" si="12"/>
        <v>1</v>
      </c>
      <c r="H54" s="90">
        <f t="shared" ref="H54:K57" si="14">IF(H8=1,1,H8*1.05)</f>
        <v>1</v>
      </c>
      <c r="I54" s="90">
        <f t="shared" si="14"/>
        <v>1</v>
      </c>
      <c r="J54" s="90">
        <f t="shared" si="14"/>
        <v>1</v>
      </c>
      <c r="K54" s="90">
        <f t="shared" si="14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179</v>
      </c>
      <c r="C55" s="90">
        <f t="shared" si="12"/>
        <v>1</v>
      </c>
      <c r="D55" s="90">
        <f t="shared" si="12"/>
        <v>1</v>
      </c>
      <c r="E55" s="90">
        <f t="shared" si="12"/>
        <v>1</v>
      </c>
      <c r="F55" s="90">
        <f t="shared" si="12"/>
        <v>1</v>
      </c>
      <c r="G55" s="90">
        <f t="shared" si="12"/>
        <v>1</v>
      </c>
      <c r="H55" s="90">
        <f t="shared" si="14"/>
        <v>1</v>
      </c>
      <c r="I55" s="90">
        <f t="shared" si="14"/>
        <v>1</v>
      </c>
      <c r="J55" s="90">
        <f t="shared" si="14"/>
        <v>1</v>
      </c>
      <c r="K55" s="90">
        <f t="shared" si="14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180</v>
      </c>
      <c r="C56" s="90">
        <f t="shared" si="12"/>
        <v>1</v>
      </c>
      <c r="D56" s="90">
        <f t="shared" si="12"/>
        <v>1</v>
      </c>
      <c r="E56" s="90">
        <f t="shared" si="12"/>
        <v>1</v>
      </c>
      <c r="F56" s="90">
        <f t="shared" si="12"/>
        <v>1</v>
      </c>
      <c r="G56" s="90">
        <f t="shared" si="12"/>
        <v>1</v>
      </c>
      <c r="H56" s="90">
        <f t="shared" si="14"/>
        <v>1</v>
      </c>
      <c r="I56" s="90">
        <f t="shared" si="14"/>
        <v>1</v>
      </c>
      <c r="J56" s="90">
        <f t="shared" si="14"/>
        <v>1</v>
      </c>
      <c r="K56" s="90">
        <f t="shared" si="14"/>
        <v>1</v>
      </c>
      <c r="L56" s="90">
        <v>0.93</v>
      </c>
      <c r="M56" s="90">
        <v>0.93</v>
      </c>
      <c r="N56" s="90">
        <v>0.93</v>
      </c>
      <c r="O56" s="90">
        <v>0.93</v>
      </c>
    </row>
    <row r="57" spans="1:15" x14ac:dyDescent="0.25">
      <c r="B57" s="5" t="s">
        <v>184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4"/>
        <v>1</v>
      </c>
      <c r="I57" s="90">
        <f t="shared" si="14"/>
        <v>1</v>
      </c>
      <c r="J57" s="90">
        <f t="shared" si="14"/>
        <v>1</v>
      </c>
      <c r="K57" s="90">
        <f t="shared" si="14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185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190</v>
      </c>
      <c r="C59" s="90">
        <f t="shared" ref="C59:D61" si="15">IF(C13=1,1,C13*1.05)</f>
        <v>1</v>
      </c>
      <c r="D59" s="90">
        <f t="shared" si="15"/>
        <v>1</v>
      </c>
      <c r="E59" s="90">
        <v>0.77</v>
      </c>
      <c r="F59" s="90">
        <v>0.77</v>
      </c>
      <c r="G59" s="90">
        <v>0.77</v>
      </c>
      <c r="H59" s="90">
        <f t="shared" ref="H59:O59" si="16">IF(H13=1,1,H13*1.05)</f>
        <v>1</v>
      </c>
      <c r="I59" s="90">
        <f t="shared" si="16"/>
        <v>1</v>
      </c>
      <c r="J59" s="90">
        <f t="shared" si="16"/>
        <v>1</v>
      </c>
      <c r="K59" s="90">
        <f t="shared" si="16"/>
        <v>1</v>
      </c>
      <c r="L59" s="90">
        <f t="shared" si="16"/>
        <v>1</v>
      </c>
      <c r="M59" s="90">
        <f t="shared" si="16"/>
        <v>1</v>
      </c>
      <c r="N59" s="90">
        <f t="shared" si="16"/>
        <v>1</v>
      </c>
      <c r="O59" s="90">
        <f t="shared" si="16"/>
        <v>1</v>
      </c>
    </row>
    <row r="60" spans="1:15" x14ac:dyDescent="0.25">
      <c r="B60" s="11" t="s">
        <v>191</v>
      </c>
      <c r="C60" s="90">
        <f t="shared" si="15"/>
        <v>1</v>
      </c>
      <c r="D60" s="90">
        <f t="shared" si="15"/>
        <v>1</v>
      </c>
      <c r="E60" s="90">
        <f t="shared" ref="E60:K60" si="17">IF(E14=1,1,E14*1.05)</f>
        <v>1</v>
      </c>
      <c r="F60" s="90">
        <f t="shared" si="17"/>
        <v>1</v>
      </c>
      <c r="G60" s="90">
        <f t="shared" si="17"/>
        <v>1</v>
      </c>
      <c r="H60" s="90">
        <f t="shared" si="17"/>
        <v>1</v>
      </c>
      <c r="I60" s="90">
        <f t="shared" si="17"/>
        <v>1</v>
      </c>
      <c r="J60" s="90">
        <f t="shared" si="17"/>
        <v>1</v>
      </c>
      <c r="K60" s="90">
        <f t="shared" si="17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204</v>
      </c>
      <c r="C61" s="90">
        <f t="shared" si="15"/>
        <v>1</v>
      </c>
      <c r="D61" s="90">
        <f t="shared" si="15"/>
        <v>1</v>
      </c>
      <c r="E61" s="90">
        <v>0.44</v>
      </c>
      <c r="F61" s="90">
        <v>0.44</v>
      </c>
      <c r="G61" s="90">
        <f t="shared" ref="G61:O61" si="18">IF(G15=1,1,G15*1.05)</f>
        <v>1</v>
      </c>
      <c r="H61" s="90">
        <f t="shared" si="18"/>
        <v>1</v>
      </c>
      <c r="I61" s="90">
        <f t="shared" si="18"/>
        <v>1</v>
      </c>
      <c r="J61" s="90">
        <f t="shared" si="18"/>
        <v>1</v>
      </c>
      <c r="K61" s="90">
        <f t="shared" si="18"/>
        <v>1</v>
      </c>
      <c r="L61" s="90">
        <f t="shared" si="18"/>
        <v>1</v>
      </c>
      <c r="M61" s="90">
        <f t="shared" si="18"/>
        <v>1</v>
      </c>
      <c r="N61" s="90">
        <f t="shared" si="18"/>
        <v>1</v>
      </c>
      <c r="O61" s="90">
        <f t="shared" si="18"/>
        <v>1</v>
      </c>
    </row>
    <row r="63" spans="1:15" ht="13" customHeight="1" x14ac:dyDescent="0.3">
      <c r="A63" s="4" t="s">
        <v>325</v>
      </c>
      <c r="B63" s="11"/>
    </row>
    <row r="64" spans="1:15" x14ac:dyDescent="0.25">
      <c r="B64" s="5" t="s">
        <v>171</v>
      </c>
      <c r="C64" s="90">
        <f t="shared" ref="C64:O64" si="19">IF(C18=1,1,C18*1.05)</f>
        <v>1</v>
      </c>
      <c r="D64" s="90">
        <f t="shared" si="19"/>
        <v>1</v>
      </c>
      <c r="E64" s="90">
        <f t="shared" si="19"/>
        <v>1</v>
      </c>
      <c r="F64" s="90">
        <f t="shared" si="19"/>
        <v>1</v>
      </c>
      <c r="G64" s="90">
        <f t="shared" si="19"/>
        <v>1</v>
      </c>
      <c r="H64" s="90">
        <f t="shared" si="19"/>
        <v>1</v>
      </c>
      <c r="I64" s="90">
        <f t="shared" si="19"/>
        <v>1</v>
      </c>
      <c r="J64" s="90">
        <f t="shared" si="19"/>
        <v>1</v>
      </c>
      <c r="K64" s="90">
        <f t="shared" si="19"/>
        <v>1</v>
      </c>
      <c r="L64" s="90">
        <f t="shared" si="19"/>
        <v>1</v>
      </c>
      <c r="M64" s="90">
        <f t="shared" si="19"/>
        <v>1</v>
      </c>
      <c r="N64" s="90">
        <f t="shared" si="19"/>
        <v>1</v>
      </c>
      <c r="O64" s="90">
        <f t="shared" si="19"/>
        <v>1</v>
      </c>
    </row>
    <row r="65" spans="2:15" x14ac:dyDescent="0.25">
      <c r="B65" s="5" t="s">
        <v>172</v>
      </c>
      <c r="C65" s="90">
        <f t="shared" ref="C65:D67" si="20">IF(C19=1,1,C19*1.05)</f>
        <v>1</v>
      </c>
      <c r="D65" s="90">
        <f t="shared" si="20"/>
        <v>1</v>
      </c>
      <c r="E65" s="90">
        <f>IF(ISBLANK('Distribución estado nutricional'!E$14),0.97,(0.97*'Distribución estado nutricional'!E$14/(1-0.97*'Distribución estado nutricional'!E$14))
/ ('Distribución estado nutricional'!E$14/(1-'Distribución estado nutricional'!E$14)))</f>
        <v>0.94955765726306463</v>
      </c>
      <c r="F65" s="90">
        <f>IF(ISBLANK('Distribución estado nutricional'!F$14),0.97,(0.97*'Distribución estado nutricional'!F$14/(1-0.97*'Distribución estado nutricional'!F$14))
/ ('Distribución estado nutricional'!F$14/(1-'Distribución estado nutricional'!F$14)))</f>
        <v>0.96188607417650174</v>
      </c>
      <c r="G65" s="90">
        <f>IF(ISBLANK('Distribución estado nutricional'!G$14),0.97,(0.97*'Distribución estado nutricional'!G$14/(1-0.97*'Distribución estado nutricional'!G$14))
/ ('Distribución estado nutricional'!G$14/(1-'Distribución estado nutricional'!G$14)))</f>
        <v>0.96188607417650174</v>
      </c>
      <c r="H65" s="90">
        <f>IF(ISBLANK('Distribución estado nutricional'!H$14),0.97,(0.97*'Distribución estado nutricional'!H$14/(1-0.97*'Distribución estado nutricional'!H$14))
/ ('Distribución estado nutricional'!H$14/(1-'Distribución estado nutricional'!H$14)))</f>
        <v>0.95780234618955173</v>
      </c>
      <c r="I65" s="90">
        <f>IF(ISBLANK('Distribución estado nutricional'!I$14),0.97,(0.97*'Distribución estado nutricional'!I$14/(1-0.97*'Distribución estado nutricional'!I$14))
/ ('Distribución estado nutricional'!I$14/(1-'Distribución estado nutricional'!I$14)))</f>
        <v>0.95780234618955173</v>
      </c>
      <c r="J65" s="90">
        <f>IF(ISBLANK('Distribución estado nutricional'!J$14),0.97,(0.97*'Distribución estado nutricional'!J$14/(1-0.97*'Distribución estado nutricional'!J$14))
/ ('Distribución estado nutricional'!J$14/(1-'Distribución estado nutricional'!J$14)))</f>
        <v>0.95780234618955173</v>
      </c>
      <c r="K65" s="90">
        <f>IF(ISBLANK('Distribución estado nutricional'!K$14),0.97,(0.97*'Distribución estado nutricional'!K$14/(1-0.97*'Distribución estado nutricional'!K$14))
/ ('Distribución estado nutricional'!K$14/(1-'Distribución estado nutricional'!K$14)))</f>
        <v>0.95780234618955173</v>
      </c>
      <c r="L65" s="90">
        <f>IF(ISBLANK('Distribución estado nutricional'!L$14),0.97,(0.97*'Distribución estado nutricional'!L$14/(1-0.97*'Distribución estado nutricional'!L$14))
/ ('Distribución estado nutricional'!L$14/(1-'Distribución estado nutricional'!L$14)))</f>
        <v>0.95803139251839609</v>
      </c>
      <c r="M65" s="90">
        <f>IF(ISBLANK('Distribución estado nutricional'!M$14),0.97,(0.97*'Distribución estado nutricional'!M$14/(1-0.97*'Distribución estado nutricional'!M$14))
/ ('Distribución estado nutricional'!M$14/(1-'Distribución estado nutricional'!M$14)))</f>
        <v>0.95803139251839609</v>
      </c>
      <c r="N65" s="90">
        <f>IF(ISBLANK('Distribución estado nutricional'!N$14),0.97,(0.97*'Distribución estado nutricional'!N$14/(1-0.97*'Distribución estado nutricional'!N$14))
/ ('Distribución estado nutricional'!N$14/(1-'Distribución estado nutricional'!N$14)))</f>
        <v>0.95803139251839609</v>
      </c>
      <c r="O65" s="90">
        <f>IF(ISBLANK('Distribución estado nutricional'!O$14),0.97,(0.97*'Distribución estado nutricional'!O$14/(1-0.97*'Distribución estado nutricional'!O$14))
/ ('Distribución estado nutricional'!O$14/(1-'Distribución estado nutricional'!O$14)))</f>
        <v>0.95803139251839609</v>
      </c>
    </row>
    <row r="66" spans="2:15" x14ac:dyDescent="0.25">
      <c r="B66" s="5" t="s">
        <v>173</v>
      </c>
      <c r="C66" s="90">
        <f t="shared" si="20"/>
        <v>1</v>
      </c>
      <c r="D66" s="90">
        <f t="shared" si="20"/>
        <v>1</v>
      </c>
      <c r="E66" s="90">
        <f t="shared" ref="E66:O66" si="21">IF(E20=1,1,E20*1.05)</f>
        <v>1</v>
      </c>
      <c r="F66" s="90">
        <f t="shared" si="21"/>
        <v>1</v>
      </c>
      <c r="G66" s="90">
        <f t="shared" si="21"/>
        <v>1</v>
      </c>
      <c r="H66" s="90">
        <f t="shared" si="21"/>
        <v>1</v>
      </c>
      <c r="I66" s="90">
        <f t="shared" si="21"/>
        <v>1</v>
      </c>
      <c r="J66" s="90">
        <f t="shared" si="21"/>
        <v>1</v>
      </c>
      <c r="K66" s="90">
        <f t="shared" si="21"/>
        <v>1</v>
      </c>
      <c r="L66" s="90">
        <f t="shared" si="21"/>
        <v>1</v>
      </c>
      <c r="M66" s="90">
        <f t="shared" si="21"/>
        <v>1</v>
      </c>
      <c r="N66" s="90">
        <f t="shared" si="21"/>
        <v>1</v>
      </c>
      <c r="O66" s="90">
        <f t="shared" si="21"/>
        <v>1</v>
      </c>
    </row>
    <row r="67" spans="2:15" x14ac:dyDescent="0.25">
      <c r="B67" s="5" t="s">
        <v>181</v>
      </c>
      <c r="C67" s="90">
        <f t="shared" si="20"/>
        <v>1</v>
      </c>
      <c r="D67" s="90">
        <f t="shared" si="20"/>
        <v>1</v>
      </c>
      <c r="E67" s="90">
        <f>IF(ISBLANK('Distribución estado nutricional'!E$14),0.92,(0.92*'Distribución estado nutricional'!E$14/(1-0.92*'Distribución estado nutricional'!E$14))
/ ('Distribución estado nutricional'!E$14/(1-'Distribución estado nutricional'!E$14)))</f>
        <v>0.87005143833007637</v>
      </c>
      <c r="F67" s="90">
        <f>IF(ISBLANK('Distribución estado nutricional'!F$14),0.92,(0.92*'Distribución estado nutricional'!F$14/(1-0.92*'Distribución estado nutricional'!F$14))
/ ('Distribución estado nutricional'!F$14/(1-'Distribución estado nutricional'!F$14)))</f>
        <v>0.89976035085848505</v>
      </c>
      <c r="G67" s="90">
        <f>IF(ISBLANK('Distribución estado nutricional'!G$14),0.92,(0.92*'Distribución estado nutricional'!G$14/(1-0.92*'Distribución estado nutricional'!G$14))
/ ('Distribución estado nutricional'!G$14/(1-'Distribución estado nutricional'!G$14)))</f>
        <v>0.89976035085848505</v>
      </c>
      <c r="H67" s="90">
        <f>IF(ISBLANK('Distribución estado nutricional'!H$14),0.92,(0.92*'Distribución estado nutricional'!H$14/(1-0.92*'Distribución estado nutricional'!H$14))
/ ('Distribución estado nutricional'!H$14/(1-'Distribución estado nutricional'!H$14)))</f>
        <v>0.88978287225834896</v>
      </c>
      <c r="I67" s="90">
        <f>IF(ISBLANK('Distribución estado nutricional'!I$14),0.92,(0.92*'Distribución estado nutricional'!I$14/(1-0.92*'Distribución estado nutricional'!I$14))
/ ('Distribución estado nutricional'!I$14/(1-'Distribución estado nutricional'!I$14)))</f>
        <v>0.88978287225834896</v>
      </c>
      <c r="J67" s="90">
        <f>IF(ISBLANK('Distribución estado nutricional'!J$14),0.92,(0.92*'Distribución estado nutricional'!J$14/(1-0.92*'Distribución estado nutricional'!J$14))
/ ('Distribución estado nutricional'!J$14/(1-'Distribución estado nutricional'!J$14)))</f>
        <v>0.88978287225834896</v>
      </c>
      <c r="K67" s="90">
        <f>IF(ISBLANK('Distribución estado nutricional'!K$14),0.92,(0.92*'Distribución estado nutricional'!K$14/(1-0.92*'Distribución estado nutricional'!K$14))
/ ('Distribución estado nutricional'!K$14/(1-'Distribución estado nutricional'!K$14)))</f>
        <v>0.88978287225834896</v>
      </c>
      <c r="L67" s="90">
        <f>IF(ISBLANK('Distribución estado nutricional'!L$14),0.92,(0.92*'Distribución estado nutricional'!L$14/(1-0.92*'Distribución estado nutricional'!L$14))
/ ('Distribución estado nutricional'!L$14/(1-'Distribución estado nutricional'!L$14)))</f>
        <v>0.89033885294440185</v>
      </c>
      <c r="M67" s="90">
        <f>IF(ISBLANK('Distribución estado nutricional'!M$14),0.92,(0.92*'Distribución estado nutricional'!M$14/(1-0.92*'Distribución estado nutricional'!M$14))
/ ('Distribución estado nutricional'!M$14/(1-'Distribución estado nutricional'!M$14)))</f>
        <v>0.89033885294440185</v>
      </c>
      <c r="N67" s="90">
        <f>IF(ISBLANK('Distribución estado nutricional'!N$14),0.92,(0.92*'Distribución estado nutricional'!N$14/(1-0.92*'Distribución estado nutricional'!N$14))
/ ('Distribución estado nutricional'!N$14/(1-'Distribución estado nutricional'!N$14)))</f>
        <v>0.89033885294440185</v>
      </c>
      <c r="O67" s="90">
        <f>IF(ISBLANK('Distribución estado nutricional'!O$14),0.92,(0.92*'Distribución estado nutricional'!O$14/(1-0.92*'Distribución estado nutricional'!O$14))
/ ('Distribución estado nutricional'!O$14/(1-'Distribución estado nutricional'!O$14)))</f>
        <v>0.89033885294440185</v>
      </c>
    </row>
  </sheetData>
  <sheetProtection algorithmName="SHA-512" hashValue="3yWu0YPYnvf5gPJagNdJ2DLxZY4YbLU3ZY6mzXyoTsqwR1vnF757EJl8jzP+T5nXYS9XXnWwb3fy3JFi2tHqqQ==" saltValue="u6AMD0vzwnefAMtybXzd/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ht="13" customHeight="1" x14ac:dyDescent="0.3">
      <c r="A2" s="4" t="s">
        <v>333</v>
      </c>
    </row>
    <row r="3" spans="1:7" ht="13.25" customHeight="1" x14ac:dyDescent="0.25">
      <c r="B3" s="11" t="s">
        <v>164</v>
      </c>
      <c r="C3" s="90">
        <v>1</v>
      </c>
      <c r="D3" s="90">
        <f>IF(ISBLANK('Distribución estado nutricional'!D$11),(1/1.33),((1/1.33)*'Distribución estado nutricional'!D$11/(1-(1/1.33)*'Distribución estado nutricional'!D$11))
/ ('Distribución estado nutricional'!D$11/(1-'Distribución estado nutricional'!D$11)))</f>
        <v>0.73745175750425718</v>
      </c>
      <c r="E3" s="90" t="e">
        <f>IF(ISBLANK('Distribución estado nutricional'!E$11),(1/1.33),((1/1.33)*'Distribución estado nutricional'!E$11/(1-(1/1.33)*'Distribución estado nutricional'!E$11))
/ ('Distribución estado nutricional'!E$11/(1-'Distribución estado nutricional'!E$11)))</f>
        <v>#DIV/0!</v>
      </c>
      <c r="F3" s="90">
        <f>IF(ISBLANK('Distribución estado nutricional'!F$11),(1/1.33),((1/1.33)*'Distribución estado nutricional'!F$11/(1-(1/1.33)*'Distribución estado nutricional'!F$11))
/ ('Distribución estado nutricional'!F$11/(1-'Distribución estado nutricional'!F$11)))</f>
        <v>0.75073689867669902</v>
      </c>
      <c r="G3" s="90">
        <f>IF(ISBLANK('Distribución estado nutricional'!G$11),(1/1.33),((1/1.33)*'Distribución estado nutricional'!G$11/(1-(1/1.33)*'Distribución estado nutricional'!G$11))
/ ('Distribución estado nutricional'!G$11/(1-'Distribución estado nutricional'!G$11)))</f>
        <v>0.74968555035284923</v>
      </c>
    </row>
    <row r="4" spans="1:7" ht="13" customHeight="1" x14ac:dyDescent="0.3">
      <c r="A4" s="4" t="s">
        <v>330</v>
      </c>
      <c r="B4" s="11"/>
      <c r="C4" s="83"/>
      <c r="D4" s="83"/>
      <c r="E4" s="83"/>
      <c r="F4" s="83"/>
      <c r="G4" s="83"/>
    </row>
    <row r="5" spans="1:7" ht="13.25" customHeight="1" x14ac:dyDescent="0.25">
      <c r="B5" s="5" t="s">
        <v>162</v>
      </c>
      <c r="C5" s="90">
        <v>1</v>
      </c>
      <c r="D5" s="90">
        <f>IF(ISBLANK('Distribución estado nutricional'!D$10),(1/1.33),((1/1.33)*'Distribución estado nutricional'!D$10/(1-(1/1.33)*'Distribución estado nutricional'!D$10))
/ ('Distribución estado nutricional'!D$10/(1-'Distribución estado nutricional'!D$10)))</f>
        <v>0.74899521511083811</v>
      </c>
      <c r="E5" s="90">
        <f>IF(ISBLANK('Distribución estado nutricional'!E$10),(1/1.33),((1/1.33)*'Distribución estado nutricional'!E$10/(1-(1/1.33)*'Distribución estado nutricional'!E$10))
/ ('Distribución estado nutricional'!E$10/(1-'Distribución estado nutricional'!E$10)))</f>
        <v>0.74869474891009813</v>
      </c>
      <c r="F5" s="90">
        <f>IF(ISBLANK('Distribución estado nutricional'!F$10),(1/1.33),((1/1.33)*'Distribución estado nutricional'!F$10/(1-(1/1.33)*'Distribución estado nutricional'!F$10))
/ ('Distribución estado nutricional'!F$10/(1-'Distribución estado nutricional'!F$10)))</f>
        <v>0.75075276285306458</v>
      </c>
      <c r="G5" s="90">
        <f>IF(ISBLANK('Distribución estado nutricional'!G$10),(1/1.33),((1/1.33)*'Distribución estado nutricional'!G$10/(1-(1/1.33)*'Distribución estado nutricional'!G$10))
/ ('Distribución estado nutricional'!G$10/(1-'Distribución estado nutricional'!G$10)))</f>
        <v>0.75078234310131275</v>
      </c>
    </row>
    <row r="7" spans="1:7" s="92" customFormat="1" ht="13" customHeight="1" x14ac:dyDescent="0.3">
      <c r="A7" s="92" t="s">
        <v>329</v>
      </c>
    </row>
    <row r="8" spans="1:7" ht="13" customHeight="1" x14ac:dyDescent="0.3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ht="13" customHeight="1" x14ac:dyDescent="0.3">
      <c r="A9" s="4" t="s">
        <v>334</v>
      </c>
    </row>
    <row r="10" spans="1:7" ht="13.25" customHeight="1" x14ac:dyDescent="0.25">
      <c r="B10" s="11" t="s">
        <v>164</v>
      </c>
      <c r="C10" s="90">
        <v>1</v>
      </c>
      <c r="D10" s="90">
        <f>IF(ISBLANK('Distribución estado nutricional'!D$11),(1/1.54),((1/1.54)*'Distribución estado nutricional'!D$11/(1-(1/1.54)*'Distribución estado nutricional'!D$11))
/ ('Distribución estado nutricional'!D$11/(1-'Distribución estado nutricional'!D$11)))</f>
        <v>0.63187972333887332</v>
      </c>
      <c r="E10" s="90" t="e">
        <f>IF(ISBLANK('Distribución estado nutricional'!E$11),(1/1.54),((1/1.54)*'Distribución estado nutricional'!E$11/(1-(1/1.54)*'Distribución estado nutricional'!E$11))
/ ('Distribución estado nutricional'!E$11/(1-'Distribución estado nutricional'!E$11)))</f>
        <v>#DIV/0!</v>
      </c>
      <c r="F10" s="90">
        <f>IF(ISBLANK('Distribución estado nutricional'!F$11),(1/1.54),((1/1.54)*'Distribución estado nutricional'!F$11/(1-(1/1.54)*'Distribución estado nutricional'!F$11))
/ ('Distribución estado nutricional'!F$11/(1-'Distribución estado nutricional'!F$11)))</f>
        <v>0.64795672428333084</v>
      </c>
      <c r="G10" s="90">
        <f>IF(ISBLANK('Distribución estado nutricional'!G$11),(1/1.54),((1/1.54)*'Distribución estado nutricional'!G$11/(1-(1/1.54)*'Distribución estado nutricional'!G$11))
/ ('Distribución estado nutricional'!G$11/(1-'Distribución estado nutricional'!G$11)))</f>
        <v>0.64667589214420418</v>
      </c>
    </row>
    <row r="11" spans="1:7" ht="13" customHeight="1" x14ac:dyDescent="0.3">
      <c r="A11" s="4" t="s">
        <v>331</v>
      </c>
      <c r="B11" s="11"/>
      <c r="C11" s="83"/>
      <c r="D11" s="83"/>
      <c r="E11" s="83"/>
      <c r="F11" s="83"/>
      <c r="G11" s="83"/>
    </row>
    <row r="12" spans="1:7" ht="13.25" customHeight="1" x14ac:dyDescent="0.25">
      <c r="B12" s="5" t="s">
        <v>162</v>
      </c>
      <c r="C12" s="90">
        <v>1</v>
      </c>
      <c r="D12" s="90">
        <f>IF(ISBLANK('Distribución estado nutricional'!D$10),(1/1.54),((1/1.54)*'Distribución estado nutricional'!D$10/(1-(1/1.54)*'Distribución estado nutricional'!D$10))
/ ('Distribución estado nutricional'!D$10/(1-'Distribución estado nutricional'!D$10)))</f>
        <v>0.64583567723244439</v>
      </c>
      <c r="E12" s="90">
        <f>IF(ISBLANK('Distribución estado nutricional'!E$10),(1/1.54),((1/1.54)*'Distribución estado nutricional'!E$10/(1-(1/1.54)*'Distribución estado nutricional'!E$10))
/ ('Distribución estado nutricional'!E$10/(1-'Distribución estado nutricional'!E$10)))</f>
        <v>0.64547017517361316</v>
      </c>
      <c r="F12" s="90">
        <f>IF(ISBLANK('Distribución estado nutricional'!F$10),(1/1.54),((1/1.54)*'Distribución estado nutricional'!F$10/(1-(1/1.54)*'Distribución estado nutricional'!F$10))
/ ('Distribución estado nutricional'!F$10/(1-'Distribución estado nutricional'!F$10)))</f>
        <v>0.64797606255299334</v>
      </c>
      <c r="G12" s="90">
        <f>IF(ISBLANK('Distribución estado nutricional'!G$10),(1/1.54),((1/1.54)*'Distribución estado nutricional'!G$10/(1-(1/1.54)*'Distribución estado nutricional'!G$10))
/ ('Distribución estado nutricional'!G$10/(1-'Distribución estado nutricional'!G$10)))</f>
        <v>0.64801212147482845</v>
      </c>
    </row>
    <row r="14" spans="1:7" s="92" customFormat="1" ht="13" customHeight="1" x14ac:dyDescent="0.3">
      <c r="A14" s="92" t="s">
        <v>336</v>
      </c>
    </row>
    <row r="15" spans="1:7" ht="13" customHeight="1" x14ac:dyDescent="0.3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ht="13" customHeight="1" x14ac:dyDescent="0.3">
      <c r="A16" s="4" t="s">
        <v>335</v>
      </c>
    </row>
    <row r="17" spans="1:7" ht="13.25" customHeight="1" x14ac:dyDescent="0.25">
      <c r="B17" s="11" t="s">
        <v>164</v>
      </c>
      <c r="C17" s="90">
        <v>1</v>
      </c>
      <c r="D17" s="90">
        <f>IF(ISBLANK('Distribución estado nutricional'!D$11),(1/1.16),((1/1.16)*'Distribución estado nutricional'!D$11/(1-(1/1.16)*'Distribución estado nutricional'!D$11))
/ ('Distribución estado nutricional'!D$11/(1-'Distribución estado nutricional'!D$11)))</f>
        <v>0.85279395157551741</v>
      </c>
      <c r="E17" s="90" t="e">
        <f>IF(ISBLANK('Distribución estado nutricional'!E$11),(1/1.16),((1/1.16)*'Distribución estado nutricional'!E$11/(1-(1/1.16)*'Distribución estado nutricional'!E$11))
/ ('Distribución estado nutricional'!E$11/(1-'Distribución estado nutricional'!E$11)))</f>
        <v>#DIV/0!</v>
      </c>
      <c r="F17" s="90">
        <f>IF(ISBLANK('Distribución estado nutricional'!F$11),(1/1.16),((1/1.16)*'Distribución estado nutricional'!F$11/(1-(1/1.16)*'Distribución estado nutricional'!F$11))
/ ('Distribución estado nutricional'!F$11/(1-'Distribución estado nutricional'!F$11)))</f>
        <v>0.86134008382872107</v>
      </c>
      <c r="G17" s="90">
        <f>IF(ISBLANK('Distribución estado nutricional'!G$11),(1/1.16),((1/1.16)*'Distribución estado nutricional'!G$11/(1-(1/1.16)*'Distribución estado nutricional'!G$11))
/ ('Distribución estado nutricional'!G$11/(1-'Distribución estado nutricional'!G$11)))</f>
        <v>0.86066866051848578</v>
      </c>
    </row>
    <row r="18" spans="1:7" ht="13" customHeight="1" x14ac:dyDescent="0.3">
      <c r="A18" s="4" t="s">
        <v>332</v>
      </c>
      <c r="B18" s="11"/>
      <c r="C18" s="83"/>
      <c r="D18" s="83"/>
      <c r="E18" s="83"/>
      <c r="F18" s="83"/>
      <c r="G18" s="83"/>
    </row>
    <row r="19" spans="1:7" ht="13.25" customHeight="1" x14ac:dyDescent="0.25">
      <c r="B19" s="5" t="s">
        <v>162</v>
      </c>
      <c r="C19" s="90">
        <v>1</v>
      </c>
      <c r="D19" s="90">
        <f>IF(ISBLANK('Distribución estado nutricional'!D$10),(1/1.16),((1/1.16)*'Distribución estado nutricional'!D$10/(1-(1/1.16)*'Distribución estado nutricional'!D$10))
/ ('Distribución estado nutricional'!D$10/(1-'Distribución estado nutricional'!D$10)))</f>
        <v>0.86022733693765008</v>
      </c>
      <c r="E19" s="90">
        <f>IF(ISBLANK('Distribución estado nutricional'!E$10),(1/1.16),((1/1.16)*'Distribución estado nutricional'!E$10/(1-(1/1.16)*'Distribución estado nutricional'!E$10))
/ ('Distribución estado nutricional'!E$10/(1-'Distribución estado nutricional'!E$10)))</f>
        <v>0.86003513964141021</v>
      </c>
      <c r="F19" s="90">
        <f>IF(ISBLANK('Distribución estado nutricional'!F$10),(1/1.16),((1/1.16)*'Distribución estado nutricional'!F$10/(1-(1/1.16)*'Distribución estado nutricional'!F$10))
/ ('Distribución estado nutricional'!F$10/(1-'Distribución estado nutricional'!F$10)))</f>
        <v>0.86135020878817381</v>
      </c>
      <c r="G19" s="90">
        <f>IF(ISBLANK('Distribución estado nutricional'!G$10),(1/1.16),((1/1.16)*'Distribución estado nutricional'!G$10/(1-(1/1.16)*'Distribución estado nutricional'!G$10))
/ ('Distribución estado nutricional'!G$10/(1-'Distribución estado nutricional'!G$10)))</f>
        <v>0.86136908721986516</v>
      </c>
    </row>
  </sheetData>
  <sheetProtection algorithmName="SHA-512" hashValue="vDflCOKBcJrYfJ4VsrHsBvJAHa78/Me4kCA6+eysVJIEy5V9xB9XO7Ugd2W//CgB68DcvAMkTIL6PFgArDB6+A==" saltValue="6qurLaBpLVINaOc0Idthq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80" zoomScaleNormal="80" workbookViewId="0">
      <selection activeCell="E28" sqref="E28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ht="13.25" customHeight="1" x14ac:dyDescent="0.25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ht="13.25" customHeight="1" x14ac:dyDescent="0.25">
      <c r="C3" s="5" t="s">
        <v>339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ht="13.25" customHeight="1" x14ac:dyDescent="0.25">
      <c r="C4" s="5" t="s">
        <v>338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ht="13.25" customHeight="1" x14ac:dyDescent="0.25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ht="13.25" customHeight="1" x14ac:dyDescent="0.25">
      <c r="C6" s="5" t="s">
        <v>338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ht="13.25" customHeight="1" x14ac:dyDescent="0.25">
      <c r="B7" s="5" t="s">
        <v>6</v>
      </c>
      <c r="C7" s="5" t="s">
        <v>337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ht="13.25" customHeight="1" x14ac:dyDescent="0.25">
      <c r="C8" s="5" t="s">
        <v>338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ht="13.25" customHeight="1" x14ac:dyDescent="0.25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ht="13.25" customHeight="1" x14ac:dyDescent="0.25">
      <c r="C10" s="5" t="s">
        <v>338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ht="13.25" customHeight="1" x14ac:dyDescent="0.25">
      <c r="B11" s="5" t="s">
        <v>6</v>
      </c>
      <c r="C11" s="5" t="s">
        <v>337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ht="13.25" customHeight="1" x14ac:dyDescent="0.25">
      <c r="C12" s="5" t="s">
        <v>338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ht="13.25" customHeight="1" x14ac:dyDescent="0.25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ht="13.25" customHeight="1" x14ac:dyDescent="0.25">
      <c r="C14" s="5" t="s">
        <v>338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ht="13.25" customHeight="1" x14ac:dyDescent="0.25">
      <c r="B15" s="5" t="s">
        <v>6</v>
      </c>
      <c r="C15" s="5" t="s">
        <v>337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ht="13.25" customHeight="1" x14ac:dyDescent="0.25">
      <c r="C16" s="5" t="s">
        <v>338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ht="13.25" customHeight="1" x14ac:dyDescent="0.25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ht="13.25" customHeight="1" x14ac:dyDescent="0.25">
      <c r="C18" s="5" t="s">
        <v>338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ht="13.25" customHeight="1" x14ac:dyDescent="0.25">
      <c r="B19" s="5" t="s">
        <v>6</v>
      </c>
      <c r="C19" s="5" t="s">
        <v>337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ht="13.25" customHeight="1" x14ac:dyDescent="0.25">
      <c r="C20" s="5" t="s">
        <v>338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ht="13.25" customHeight="1" x14ac:dyDescent="0.25">
      <c r="A21" s="5" t="s">
        <v>173</v>
      </c>
      <c r="B21" s="5" t="s">
        <v>92</v>
      </c>
      <c r="C21" s="5" t="s">
        <v>337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ht="13.25" customHeight="1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ht="13.25" customHeight="1" x14ac:dyDescent="0.25">
      <c r="A23" s="5" t="s">
        <v>171</v>
      </c>
      <c r="B23" s="5" t="s">
        <v>92</v>
      </c>
      <c r="C23" s="5" t="s">
        <v>337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ht="13.25" customHeight="1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ht="13.25" customHeight="1" x14ac:dyDescent="0.25">
      <c r="A25" s="5" t="s">
        <v>172</v>
      </c>
      <c r="B25" s="5" t="s">
        <v>92</v>
      </c>
      <c r="C25" s="5" t="s">
        <v>337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ht="13.25" customHeight="1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ht="13.25" customHeight="1" x14ac:dyDescent="0.25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ht="13.25" customHeight="1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ht="13.25" customHeight="1" x14ac:dyDescent="0.25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ht="13.25" customHeight="1" x14ac:dyDescent="0.25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ht="13.25" customHeight="1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ht="13.25" customHeight="1" x14ac:dyDescent="0.25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ht="13.25" customHeight="1" x14ac:dyDescent="0.25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ht="13.25" customHeight="1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ht="13.25" customHeight="1" x14ac:dyDescent="0.25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ht="13.25" customHeight="1" x14ac:dyDescent="0.25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ht="13.25" customHeight="1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ht="13.25" customHeight="1" x14ac:dyDescent="0.25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ht="13.25" customHeight="1" x14ac:dyDescent="0.25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ht="13.25" customHeight="1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ht="13.25" customHeight="1" x14ac:dyDescent="0.25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ht="13.25" customHeight="1" x14ac:dyDescent="0.25">
      <c r="A42" s="5" t="s">
        <v>203</v>
      </c>
      <c r="B42" s="5" t="s">
        <v>84</v>
      </c>
      <c r="C42" s="5" t="s">
        <v>337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ht="13.25" customHeight="1" x14ac:dyDescent="0.25">
      <c r="C43" s="5" t="s">
        <v>339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ht="13.25" customHeight="1" x14ac:dyDescent="0.25">
      <c r="C44" s="5" t="s">
        <v>338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ht="13.25" customHeight="1" x14ac:dyDescent="0.25">
      <c r="B45" s="5" t="s">
        <v>102</v>
      </c>
      <c r="C45" s="5" t="s">
        <v>337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ht="13.25" customHeight="1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ht="13.25" customHeight="1" x14ac:dyDescent="0.25">
      <c r="C47" s="5" t="s">
        <v>338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ht="13.25" customHeight="1" x14ac:dyDescent="0.25">
      <c r="A48" s="5" t="s">
        <v>192</v>
      </c>
      <c r="B48" s="5" t="s">
        <v>84</v>
      </c>
      <c r="C48" s="5" t="s">
        <v>337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ht="13.25" customHeight="1" x14ac:dyDescent="0.25">
      <c r="C49" s="5" t="s">
        <v>339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ht="13.25" customHeight="1" x14ac:dyDescent="0.25">
      <c r="A50" s="5" t="s">
        <v>202</v>
      </c>
      <c r="B50" s="5" t="s">
        <v>84</v>
      </c>
      <c r="C50" s="5" t="s">
        <v>337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ht="13.25" customHeight="1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ht="13.25" customHeight="1" x14ac:dyDescent="0.25">
      <c r="A52" s="5" t="s">
        <v>182</v>
      </c>
      <c r="B52" s="5" t="s">
        <v>96</v>
      </c>
      <c r="C52" s="5" t="s">
        <v>337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ht="13.25" customHeight="1" x14ac:dyDescent="0.25">
      <c r="C53" s="5" t="s">
        <v>339</v>
      </c>
      <c r="D53" s="90">
        <v>0.51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329</v>
      </c>
      <c r="B55" s="97"/>
      <c r="C55" s="97"/>
    </row>
    <row r="56" spans="1:8" ht="13" customHeight="1" x14ac:dyDescent="0.3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ht="13.25" customHeight="1" x14ac:dyDescent="0.25">
      <c r="A57" s="5" t="s">
        <v>196</v>
      </c>
      <c r="B57" s="5" t="s">
        <v>84</v>
      </c>
      <c r="C57" s="5" t="s">
        <v>337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ht="13.25" customHeight="1" x14ac:dyDescent="0.25">
      <c r="C58" s="5" t="s">
        <v>339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ht="13.25" customHeight="1" x14ac:dyDescent="0.25">
      <c r="C59" s="5" t="s">
        <v>338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ht="13.25" customHeight="1" x14ac:dyDescent="0.25">
      <c r="A60" s="5" t="s">
        <v>193</v>
      </c>
      <c r="B60" s="5" t="s">
        <v>207</v>
      </c>
      <c r="C60" s="5" t="s">
        <v>337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ht="13.25" customHeight="1" x14ac:dyDescent="0.25">
      <c r="C61" s="5" t="s">
        <v>338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ht="13.25" customHeight="1" x14ac:dyDescent="0.25">
      <c r="B62" s="5" t="s">
        <v>6</v>
      </c>
      <c r="C62" s="5" t="s">
        <v>337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ht="13.25" customHeight="1" x14ac:dyDescent="0.25">
      <c r="C63" s="5" t="s">
        <v>338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ht="13.25" customHeight="1" x14ac:dyDescent="0.25">
      <c r="A64" s="5" t="s">
        <v>184</v>
      </c>
      <c r="B64" s="5" t="s">
        <v>207</v>
      </c>
      <c r="C64" s="5" t="s">
        <v>337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ht="13.25" customHeight="1" x14ac:dyDescent="0.25">
      <c r="C65" s="5" t="s">
        <v>338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ht="13.25" customHeight="1" x14ac:dyDescent="0.25">
      <c r="B66" s="5" t="s">
        <v>6</v>
      </c>
      <c r="C66" s="5" t="s">
        <v>337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ht="13.25" customHeight="1" x14ac:dyDescent="0.25">
      <c r="C67" s="5" t="s">
        <v>338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ht="13.25" customHeight="1" x14ac:dyDescent="0.25">
      <c r="A68" s="5" t="s">
        <v>204</v>
      </c>
      <c r="B68" s="5" t="s">
        <v>207</v>
      </c>
      <c r="C68" s="5" t="s">
        <v>337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ht="13.25" customHeight="1" x14ac:dyDescent="0.25">
      <c r="C69" s="5" t="s">
        <v>338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ht="13.25" customHeight="1" x14ac:dyDescent="0.25">
      <c r="B70" s="5" t="s">
        <v>6</v>
      </c>
      <c r="C70" s="5" t="s">
        <v>337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ht="13.25" customHeight="1" x14ac:dyDescent="0.25">
      <c r="C71" s="5" t="s">
        <v>338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ht="13.25" customHeight="1" x14ac:dyDescent="0.25">
      <c r="A72" s="5" t="s">
        <v>167</v>
      </c>
      <c r="B72" s="5" t="s">
        <v>207</v>
      </c>
      <c r="C72" s="5" t="s">
        <v>337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ht="13.25" customHeight="1" x14ac:dyDescent="0.25">
      <c r="C73" s="5" t="s">
        <v>338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6</v>
      </c>
      <c r="C74" s="5" t="s">
        <v>337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338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173</v>
      </c>
      <c r="B76" s="5" t="s">
        <v>92</v>
      </c>
      <c r="C76" s="5" t="s">
        <v>337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171</v>
      </c>
      <c r="B78" s="5" t="s">
        <v>92</v>
      </c>
      <c r="C78" s="5" t="s">
        <v>337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339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172</v>
      </c>
      <c r="B80" s="5" t="s">
        <v>92</v>
      </c>
      <c r="C80" s="5" t="s">
        <v>337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339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200</v>
      </c>
      <c r="B82" s="5" t="s">
        <v>84</v>
      </c>
      <c r="C82" s="5" t="s">
        <v>337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339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338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201</v>
      </c>
      <c r="B85" s="5" t="s">
        <v>84</v>
      </c>
      <c r="C85" s="5" t="s">
        <v>337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339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338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199</v>
      </c>
      <c r="B88" s="5" t="s">
        <v>84</v>
      </c>
      <c r="C88" s="5" t="s">
        <v>337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339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338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198</v>
      </c>
      <c r="B91" s="5" t="s">
        <v>84</v>
      </c>
      <c r="C91" s="5" t="s">
        <v>337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339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338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197</v>
      </c>
      <c r="B94" s="5" t="s">
        <v>84</v>
      </c>
      <c r="C94" s="5" t="s">
        <v>337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339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338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203</v>
      </c>
      <c r="B97" s="5" t="s">
        <v>84</v>
      </c>
      <c r="C97" s="5" t="s">
        <v>337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339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338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102</v>
      </c>
      <c r="C100" s="5" t="s">
        <v>337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339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338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192</v>
      </c>
      <c r="B103" s="5" t="s">
        <v>84</v>
      </c>
      <c r="C103" s="5" t="s">
        <v>337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339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202</v>
      </c>
      <c r="B105" s="5" t="s">
        <v>84</v>
      </c>
      <c r="C105" s="5" t="s">
        <v>337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339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182</v>
      </c>
      <c r="B107" s="5" t="s">
        <v>96</v>
      </c>
      <c r="C107" s="5" t="s">
        <v>337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339</v>
      </c>
      <c r="D108" s="90">
        <v>0.18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336</v>
      </c>
      <c r="B110" s="97"/>
      <c r="C110" s="97"/>
    </row>
    <row r="111" spans="1:8" ht="13" customHeight="1" x14ac:dyDescent="0.3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5">
      <c r="A112" s="5" t="s">
        <v>196</v>
      </c>
      <c r="B112" s="5" t="s">
        <v>84</v>
      </c>
      <c r="C112" s="5" t="s">
        <v>337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339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338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193</v>
      </c>
      <c r="B115" s="5" t="s">
        <v>207</v>
      </c>
      <c r="C115" s="5" t="s">
        <v>337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338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6</v>
      </c>
      <c r="C117" s="5" t="s">
        <v>337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338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184</v>
      </c>
      <c r="B119" s="5" t="s">
        <v>207</v>
      </c>
      <c r="C119" s="5" t="s">
        <v>337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338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6</v>
      </c>
      <c r="C121" s="5" t="s">
        <v>337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338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204</v>
      </c>
      <c r="B123" s="5" t="s">
        <v>207</v>
      </c>
      <c r="C123" s="5" t="s">
        <v>337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338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6</v>
      </c>
      <c r="C125" s="5" t="s">
        <v>337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338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167</v>
      </c>
      <c r="B127" s="5" t="s">
        <v>207</v>
      </c>
      <c r="C127" s="5" t="s">
        <v>337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338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6</v>
      </c>
      <c r="C129" s="5" t="s">
        <v>337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338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173</v>
      </c>
      <c r="B131" s="5" t="s">
        <v>92</v>
      </c>
      <c r="C131" s="5" t="s">
        <v>337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339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171</v>
      </c>
      <c r="B133" s="5" t="s">
        <v>92</v>
      </c>
      <c r="C133" s="5" t="s">
        <v>337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339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172</v>
      </c>
      <c r="B135" s="5" t="s">
        <v>92</v>
      </c>
      <c r="C135" s="5" t="s">
        <v>337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339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200</v>
      </c>
      <c r="B137" s="5" t="s">
        <v>84</v>
      </c>
      <c r="C137" s="5" t="s">
        <v>337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339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338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201</v>
      </c>
      <c r="B140" s="5" t="s">
        <v>84</v>
      </c>
      <c r="C140" s="5" t="s">
        <v>337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339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338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199</v>
      </c>
      <c r="B143" s="5" t="s">
        <v>84</v>
      </c>
      <c r="C143" s="5" t="s">
        <v>337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339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338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198</v>
      </c>
      <c r="B146" s="5" t="s">
        <v>84</v>
      </c>
      <c r="C146" s="5" t="s">
        <v>337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339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338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197</v>
      </c>
      <c r="B149" s="5" t="s">
        <v>84</v>
      </c>
      <c r="C149" s="5" t="s">
        <v>337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339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338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203</v>
      </c>
      <c r="B152" s="5" t="s">
        <v>84</v>
      </c>
      <c r="C152" s="5" t="s">
        <v>337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339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338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102</v>
      </c>
      <c r="C155" s="5" t="s">
        <v>337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339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338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192</v>
      </c>
      <c r="B158" s="5" t="s">
        <v>84</v>
      </c>
      <c r="C158" s="5" t="s">
        <v>337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339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202</v>
      </c>
      <c r="B160" s="5" t="s">
        <v>84</v>
      </c>
      <c r="C160" s="5" t="s">
        <v>337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339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182</v>
      </c>
      <c r="B162" s="5" t="s">
        <v>96</v>
      </c>
      <c r="C162" s="5" t="s">
        <v>337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339</v>
      </c>
      <c r="D163" s="90">
        <v>0.71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36+oKJJ5JzFwaELiFmzfzqUKgDA+XzR2YM3++8BToNdlvgNQNaA6lUuYCuu/ztr+XiEsW2grbsGob8a88Jk8kA==" saltValue="hSpc2YOodFHdo34VF+0qY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D2" sqref="D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ht="13.25" customHeight="1" x14ac:dyDescent="0.25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ht="13.25" customHeight="1" x14ac:dyDescent="0.25">
      <c r="C3" s="8" t="s">
        <v>339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ht="13.25" customHeight="1" x14ac:dyDescent="0.25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ht="13.25" customHeight="1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ht="13.25" customHeight="1" x14ac:dyDescent="0.25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ht="13.25" customHeight="1" x14ac:dyDescent="0.25">
      <c r="C7" s="8" t="s">
        <v>339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329</v>
      </c>
    </row>
    <row r="10" spans="1:8" ht="13" customHeight="1" x14ac:dyDescent="0.3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ht="13.25" customHeight="1" x14ac:dyDescent="0.25">
      <c r="A11" s="3" t="s">
        <v>166</v>
      </c>
      <c r="B11" s="8" t="s">
        <v>86</v>
      </c>
      <c r="C11" s="3" t="s">
        <v>337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ht="13.25" customHeight="1" x14ac:dyDescent="0.25">
      <c r="C12" s="8" t="s">
        <v>339</v>
      </c>
      <c r="D12" s="90">
        <v>0</v>
      </c>
      <c r="E12" s="90">
        <v>0</v>
      </c>
      <c r="F12" s="90">
        <v>0</v>
      </c>
      <c r="G12" s="90">
        <v>0</v>
      </c>
    </row>
    <row r="13" spans="1:8" ht="13.25" customHeight="1" x14ac:dyDescent="0.25">
      <c r="A13" s="3" t="s">
        <v>189</v>
      </c>
      <c r="B13" s="8" t="s">
        <v>86</v>
      </c>
      <c r="C13" s="3" t="s">
        <v>337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ht="13.25" customHeight="1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ht="13.25" customHeight="1" x14ac:dyDescent="0.25">
      <c r="A15" s="3" t="s">
        <v>188</v>
      </c>
      <c r="B15" s="8" t="s">
        <v>86</v>
      </c>
      <c r="C15" s="3" t="s">
        <v>337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ht="13.25" customHeight="1" x14ac:dyDescent="0.25">
      <c r="C16" s="8" t="s">
        <v>339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336</v>
      </c>
    </row>
    <row r="19" spans="1:7" ht="13" customHeight="1" x14ac:dyDescent="0.3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ht="13.25" customHeight="1" x14ac:dyDescent="0.25">
      <c r="A20" s="3" t="s">
        <v>166</v>
      </c>
      <c r="B20" s="8" t="s">
        <v>86</v>
      </c>
      <c r="C20" s="3" t="s">
        <v>337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ht="13.25" customHeight="1" x14ac:dyDescent="0.25">
      <c r="C21" s="8" t="s">
        <v>339</v>
      </c>
      <c r="D21" s="90">
        <v>0.98</v>
      </c>
      <c r="E21" s="90">
        <v>0.98</v>
      </c>
      <c r="F21" s="90">
        <v>0.98</v>
      </c>
      <c r="G21" s="90">
        <v>0.98</v>
      </c>
    </row>
    <row r="22" spans="1:7" ht="13.25" customHeight="1" x14ac:dyDescent="0.25">
      <c r="A22" s="3" t="s">
        <v>189</v>
      </c>
      <c r="B22" s="8" t="s">
        <v>86</v>
      </c>
      <c r="C22" s="3" t="s">
        <v>337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ht="13.25" customHeight="1" x14ac:dyDescent="0.25">
      <c r="C23" s="8" t="s">
        <v>339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ht="13.25" customHeight="1" x14ac:dyDescent="0.25">
      <c r="A24" s="3" t="s">
        <v>188</v>
      </c>
      <c r="B24" s="8" t="s">
        <v>86</v>
      </c>
      <c r="C24" s="3" t="s">
        <v>337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ht="13.25" customHeight="1" x14ac:dyDescent="0.25">
      <c r="C25" s="8" t="s">
        <v>339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DR/HQ3Hw8Xqi7OYxPcr1KgaSPyhlp9swpzYZqVS6ugyIljOocx0/p4xNawWjZqDTOOLUer4+afV2Nv2dr5h3kg==" saltValue="OmRYlrKCJcOkaMvDOW4j6g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3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5">
      <c r="B3" s="19" t="s">
        <v>93</v>
      </c>
      <c r="C3" s="55">
        <v>0</v>
      </c>
    </row>
    <row r="4" spans="1:8" ht="15.75" customHeight="1" x14ac:dyDescent="0.25">
      <c r="B4" s="19" t="s">
        <v>97</v>
      </c>
      <c r="C4" s="101">
        <v>5.1118499525227089E-2</v>
      </c>
    </row>
    <row r="5" spans="1:8" ht="15.75" customHeight="1" x14ac:dyDescent="0.25">
      <c r="B5" s="19" t="s">
        <v>95</v>
      </c>
      <c r="C5" s="101">
        <v>4.0375205060669467E-2</v>
      </c>
    </row>
    <row r="6" spans="1:8" ht="15.75" customHeight="1" x14ac:dyDescent="0.25">
      <c r="B6" s="19" t="s">
        <v>91</v>
      </c>
      <c r="C6" s="101">
        <v>0.1187386288620349</v>
      </c>
    </row>
    <row r="7" spans="1:8" ht="15.75" customHeight="1" x14ac:dyDescent="0.25">
      <c r="B7" s="19" t="s">
        <v>96</v>
      </c>
      <c r="C7" s="101">
        <v>0.40308133954730108</v>
      </c>
    </row>
    <row r="8" spans="1:8" ht="15.75" customHeight="1" x14ac:dyDescent="0.25">
      <c r="B8" s="19" t="s">
        <v>98</v>
      </c>
      <c r="C8" s="101">
        <v>0</v>
      </c>
    </row>
    <row r="9" spans="1:8" ht="15.75" customHeight="1" x14ac:dyDescent="0.25">
      <c r="B9" s="19" t="s">
        <v>92</v>
      </c>
      <c r="C9" s="101">
        <v>0.30387710977728027</v>
      </c>
    </row>
    <row r="10" spans="1:8" ht="15.75" customHeight="1" x14ac:dyDescent="0.25">
      <c r="B10" s="19" t="s">
        <v>94</v>
      </c>
      <c r="C10" s="101">
        <v>8.2809217227487103E-2</v>
      </c>
    </row>
    <row r="11" spans="1:8" ht="15.75" customHeight="1" x14ac:dyDescent="0.25">
      <c r="B11" s="27" t="s">
        <v>60</v>
      </c>
      <c r="C11" s="48">
        <f>SUM(C3:C10)</f>
        <v>0.99999999999999989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83</v>
      </c>
      <c r="B13" s="29" t="s">
        <v>82</v>
      </c>
      <c r="C13" s="102" t="s">
        <v>74</v>
      </c>
      <c r="D13" s="102" t="s">
        <v>77</v>
      </c>
      <c r="E13" s="102" t="s">
        <v>75</v>
      </c>
      <c r="F13" s="102" t="s">
        <v>76</v>
      </c>
      <c r="G13" s="19"/>
    </row>
    <row r="14" spans="1:8" ht="15.75" customHeight="1" x14ac:dyDescent="0.25">
      <c r="B14" s="19" t="s">
        <v>84</v>
      </c>
      <c r="C14" s="55">
        <v>2.4006392443578901E-2</v>
      </c>
      <c r="D14" s="55">
        <v>2.4006392443578901E-2</v>
      </c>
      <c r="E14" s="55">
        <v>2.4006392443578901E-2</v>
      </c>
      <c r="F14" s="55">
        <v>2.4006392443578901E-2</v>
      </c>
    </row>
    <row r="15" spans="1:8" ht="15.75" customHeight="1" x14ac:dyDescent="0.25">
      <c r="B15" s="19" t="s">
        <v>102</v>
      </c>
      <c r="C15" s="101">
        <v>0.1012633103353708</v>
      </c>
      <c r="D15" s="101">
        <v>0.1012633103353708</v>
      </c>
      <c r="E15" s="101">
        <v>0.1012633103353708</v>
      </c>
      <c r="F15" s="101">
        <v>0.1012633103353708</v>
      </c>
    </row>
    <row r="16" spans="1:8" ht="15.75" customHeight="1" x14ac:dyDescent="0.25">
      <c r="B16" s="19" t="s">
        <v>2</v>
      </c>
      <c r="C16" s="101">
        <v>2.0599619094173651E-2</v>
      </c>
      <c r="D16" s="101">
        <v>2.0599619094173651E-2</v>
      </c>
      <c r="E16" s="101">
        <v>2.0599619094173651E-2</v>
      </c>
      <c r="F16" s="101">
        <v>2.0599619094173651E-2</v>
      </c>
    </row>
    <row r="17" spans="1:8" ht="15.75" customHeight="1" x14ac:dyDescent="0.25">
      <c r="B17" s="19" t="s">
        <v>90</v>
      </c>
      <c r="C17" s="101">
        <v>5.233910682371324E-2</v>
      </c>
      <c r="D17" s="101">
        <v>5.233910682371324E-2</v>
      </c>
      <c r="E17" s="101">
        <v>5.233910682371324E-2</v>
      </c>
      <c r="F17" s="101">
        <v>5.233910682371324E-2</v>
      </c>
    </row>
    <row r="18" spans="1:8" ht="15.75" customHeight="1" x14ac:dyDescent="0.25">
      <c r="B18" s="19" t="s">
        <v>3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101</v>
      </c>
      <c r="C19" s="101">
        <v>9.1728922200068393E-3</v>
      </c>
      <c r="D19" s="101">
        <v>9.1728922200068393E-3</v>
      </c>
      <c r="E19" s="101">
        <v>9.1728922200068393E-3</v>
      </c>
      <c r="F19" s="101">
        <v>9.1728922200068393E-3</v>
      </c>
    </row>
    <row r="20" spans="1:8" ht="15.75" customHeight="1" x14ac:dyDescent="0.25">
      <c r="B20" s="19" t="s">
        <v>79</v>
      </c>
      <c r="C20" s="101">
        <v>0</v>
      </c>
      <c r="D20" s="101">
        <v>0</v>
      </c>
      <c r="E20" s="101">
        <v>0</v>
      </c>
      <c r="F20" s="101">
        <v>0</v>
      </c>
    </row>
    <row r="21" spans="1:8" ht="15.75" customHeight="1" x14ac:dyDescent="0.25">
      <c r="B21" s="19" t="s">
        <v>88</v>
      </c>
      <c r="C21" s="101">
        <v>0.1092153444449659</v>
      </c>
      <c r="D21" s="101">
        <v>0.1092153444449659</v>
      </c>
      <c r="E21" s="101">
        <v>0.1092153444449659</v>
      </c>
      <c r="F21" s="101">
        <v>0.1092153444449659</v>
      </c>
    </row>
    <row r="22" spans="1:8" ht="15.75" customHeight="1" x14ac:dyDescent="0.25">
      <c r="B22" s="19" t="s">
        <v>99</v>
      </c>
      <c r="C22" s="101">
        <v>0.6834033346381907</v>
      </c>
      <c r="D22" s="101">
        <v>0.6834033346381907</v>
      </c>
      <c r="E22" s="101">
        <v>0.6834033346381907</v>
      </c>
      <c r="F22" s="101">
        <v>0.6834033346381907</v>
      </c>
    </row>
    <row r="23" spans="1:8" ht="15.75" customHeight="1" x14ac:dyDescent="0.25">
      <c r="B23" s="27" t="s">
        <v>60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5">
      <c r="B26" s="19" t="s">
        <v>81</v>
      </c>
      <c r="C26" s="55">
        <v>5.5773718999999999E-2</v>
      </c>
    </row>
    <row r="27" spans="1:8" ht="15.75" customHeight="1" x14ac:dyDescent="0.25">
      <c r="B27" s="19" t="s">
        <v>89</v>
      </c>
      <c r="C27" s="101">
        <v>5.7652142000000003E-2</v>
      </c>
    </row>
    <row r="28" spans="1:8" ht="15.75" customHeight="1" x14ac:dyDescent="0.25">
      <c r="B28" s="19" t="s">
        <v>103</v>
      </c>
      <c r="C28" s="101">
        <v>0.12384268499999999</v>
      </c>
    </row>
    <row r="29" spans="1:8" ht="15.75" customHeight="1" x14ac:dyDescent="0.25">
      <c r="B29" s="19" t="s">
        <v>86</v>
      </c>
      <c r="C29" s="101">
        <v>0.136252816</v>
      </c>
    </row>
    <row r="30" spans="1:8" ht="15.75" customHeight="1" x14ac:dyDescent="0.25">
      <c r="B30" s="19" t="s">
        <v>4</v>
      </c>
      <c r="C30" s="101">
        <v>8.3258572000000003E-2</v>
      </c>
    </row>
    <row r="31" spans="1:8" ht="15.75" customHeight="1" x14ac:dyDescent="0.25">
      <c r="B31" s="19" t="s">
        <v>80</v>
      </c>
      <c r="C31" s="101">
        <v>6.5980006999999993E-2</v>
      </c>
    </row>
    <row r="32" spans="1:8" ht="15.75" customHeight="1" x14ac:dyDescent="0.25">
      <c r="B32" s="19" t="s">
        <v>85</v>
      </c>
      <c r="C32" s="101">
        <v>0.12997820099999999</v>
      </c>
    </row>
    <row r="33" spans="2:3" ht="15.75" customHeight="1" x14ac:dyDescent="0.25">
      <c r="B33" s="19" t="s">
        <v>100</v>
      </c>
      <c r="C33" s="101">
        <v>0.124636924</v>
      </c>
    </row>
    <row r="34" spans="2:3" ht="15.75" customHeight="1" x14ac:dyDescent="0.25">
      <c r="B34" s="19" t="s">
        <v>87</v>
      </c>
      <c r="C34" s="101">
        <v>0.222624933</v>
      </c>
    </row>
    <row r="35" spans="2:3" ht="15.75" customHeight="1" x14ac:dyDescent="0.25">
      <c r="B35" s="27" t="s">
        <v>60</v>
      </c>
      <c r="C35" s="48">
        <f>SUM(C26:C34)</f>
        <v>0.99999999899999992</v>
      </c>
    </row>
  </sheetData>
  <sheetProtection algorithmName="SHA-512" hashValue="AjdOIPShYWFwv/mY6Vz//i1lyPjOgN7SjTXTGD97C766o8QemjuPXs3lX8FbGuS/2OFxhs/CGq1AQCOz9oiG1g==" saltValue="Mky79Nf8xd59Y+FA16n7nw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5">
      <c r="A2" s="3" t="s">
        <v>121</v>
      </c>
      <c r="B2" s="5" t="s">
        <v>111</v>
      </c>
      <c r="C2" s="52">
        <f>IFERROR(1-_xlfn.NORM.DIST(_xlfn.NORM.INV(SUM(C4:C5), 0, 1) + 1, 0, 1, TRUE), "")</f>
        <v>0.5011213988387031</v>
      </c>
      <c r="D2" s="52">
        <f>IFERROR(1-_xlfn.NORM.DIST(_xlfn.NORM.INV(SUM(D4:D5), 0, 1) + 1, 0, 1, TRUE), "")</f>
        <v>0.5011213988387031</v>
      </c>
      <c r="E2" s="52">
        <f>IFERROR(1-_xlfn.NORM.DIST(_xlfn.NORM.INV(SUM(E4:E5), 0, 1) + 1, 0, 1, TRUE), "")</f>
        <v>0.61554531704824345</v>
      </c>
      <c r="F2" s="52">
        <f>IFERROR(1-_xlfn.NORM.DIST(_xlfn.NORM.INV(SUM(F4:F5), 0, 1) + 1, 0, 1, TRUE), "")</f>
        <v>0.53603368738761104</v>
      </c>
      <c r="G2" s="52">
        <f>IFERROR(1-_xlfn.NORM.DIST(_xlfn.NORM.INV(SUM(G4:G5), 0, 1) + 1, 0, 1, TRUE), "")</f>
        <v>0.70785260258671034</v>
      </c>
    </row>
    <row r="3" spans="1:15" ht="15.75" customHeight="1" x14ac:dyDescent="0.25">
      <c r="B3" s="5" t="s">
        <v>108</v>
      </c>
      <c r="C3" s="52">
        <f>IFERROR(_xlfn.NORM.DIST(_xlfn.NORM.INV(SUM(C4:C5), 0, 1) + 1, 0, 1, TRUE) - SUM(C4:C5), "")</f>
        <v>0.34090255495672983</v>
      </c>
      <c r="D3" s="52">
        <f>IFERROR(_xlfn.NORM.DIST(_xlfn.NORM.INV(SUM(D4:D5), 0, 1) + 1, 0, 1, TRUE) - SUM(D4:D5), "")</f>
        <v>0.34090255495672983</v>
      </c>
      <c r="E3" s="52">
        <f>IFERROR(_xlfn.NORM.DIST(_xlfn.NORM.INV(SUM(E4:E5), 0, 1) + 1, 0, 1, TRUE) - SUM(E4:E5), "")</f>
        <v>0.286587736120411</v>
      </c>
      <c r="F3" s="52">
        <f>IFERROR(_xlfn.NORM.DIST(_xlfn.NORM.INV(SUM(F4:F5), 0, 1) + 1, 0, 1, TRUE) - SUM(F4:F5), "")</f>
        <v>0.32620799800286132</v>
      </c>
      <c r="G3" s="52">
        <f>IFERROR(_xlfn.NORM.DIST(_xlfn.NORM.INV(SUM(G4:G5), 0, 1) + 1, 0, 1, TRUE) - SUM(G4:G5), "")</f>
        <v>0.23123050422910466</v>
      </c>
    </row>
    <row r="4" spans="1:15" ht="15.75" customHeight="1" x14ac:dyDescent="0.25">
      <c r="B4" s="5" t="s">
        <v>110</v>
      </c>
      <c r="C4" s="45">
        <v>7.4163332581520094E-2</v>
      </c>
      <c r="D4" s="53">
        <v>7.4163332581520094E-2</v>
      </c>
      <c r="E4" s="53">
        <v>7.3369085788726793E-2</v>
      </c>
      <c r="F4" s="53">
        <v>7.6801851391792297E-2</v>
      </c>
      <c r="G4" s="53">
        <v>3.5072166472673402E-2</v>
      </c>
    </row>
    <row r="5" spans="1:15" ht="15.75" customHeight="1" x14ac:dyDescent="0.25">
      <c r="B5" s="5" t="s">
        <v>106</v>
      </c>
      <c r="C5" s="45">
        <v>8.3812713623046889E-2</v>
      </c>
      <c r="D5" s="53">
        <v>8.3812713623046889E-2</v>
      </c>
      <c r="E5" s="53">
        <v>2.44978610426188E-2</v>
      </c>
      <c r="F5" s="53">
        <v>6.0956463217735297E-2</v>
      </c>
      <c r="G5" s="53">
        <v>2.5844726711511602E-2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122</v>
      </c>
      <c r="B8" s="5" t="s">
        <v>112</v>
      </c>
      <c r="C8" s="52">
        <f>IFERROR(1-_xlfn.NORM.DIST(_xlfn.NORM.INV(SUM(C10:C11), 0, 1) + 1, 0, 1, TRUE), "")</f>
        <v>0.63714856875547587</v>
      </c>
      <c r="D8" s="52">
        <f>IFERROR(1-_xlfn.NORM.DIST(_xlfn.NORM.INV(SUM(D10:D11), 0, 1) + 1, 0, 1, TRUE), "")</f>
        <v>0.63714856875547587</v>
      </c>
      <c r="E8" s="52">
        <f>IFERROR(1-_xlfn.NORM.DIST(_xlfn.NORM.INV(SUM(E10:E11), 0, 1) + 1, 0, 1, TRUE), "")</f>
        <v>0.86938768792426224</v>
      </c>
      <c r="F8" s="52">
        <f>IFERROR(1-_xlfn.NORM.DIST(_xlfn.NORM.INV(SUM(F10:F11), 0, 1) + 1, 0, 1, TRUE), "")</f>
        <v>0.89500392147304919</v>
      </c>
      <c r="G8" s="52">
        <f>IFERROR(1-_xlfn.NORM.DIST(_xlfn.NORM.INV(SUM(G10:G11), 0, 1) + 1, 0, 1, TRUE), "")</f>
        <v>0.8660742104886443</v>
      </c>
    </row>
    <row r="9" spans="1:15" ht="15.75" customHeight="1" x14ac:dyDescent="0.25">
      <c r="B9" s="5" t="s">
        <v>109</v>
      </c>
      <c r="C9" s="52">
        <f>IFERROR(_xlfn.NORM.DIST(_xlfn.NORM.INV(SUM(C10:C11), 0, 1) + 1, 0, 1, TRUE) - SUM(C10:C11), "")</f>
        <v>0.27447926497599662</v>
      </c>
      <c r="D9" s="52">
        <f>IFERROR(_xlfn.NORM.DIST(_xlfn.NORM.INV(SUM(D10:D11), 0, 1) + 1, 0, 1, TRUE) - SUM(D10:D11), "")</f>
        <v>0.27447926497599662</v>
      </c>
      <c r="E9" s="52">
        <f>IFERROR(_xlfn.NORM.DIST(_xlfn.NORM.INV(SUM(E10:E11), 0, 1) + 1, 0, 1, TRUE) - SUM(E10:E11), "")</f>
        <v>0.11375638116622333</v>
      </c>
      <c r="F9" s="52">
        <f>IFERROR(_xlfn.NORM.DIST(_xlfn.NORM.INV(SUM(F10:F11), 0, 1) + 1, 0, 1, TRUE) - SUM(F10:F11), "")</f>
        <v>9.2884997716523088E-2</v>
      </c>
      <c r="G9" s="52">
        <f>IFERROR(_xlfn.NORM.DIST(_xlfn.NORM.INV(SUM(G10:G11), 0, 1) + 1, 0, 1, TRUE) - SUM(G10:G11), "")</f>
        <v>0.11641131994366932</v>
      </c>
    </row>
    <row r="10" spans="1:15" ht="15.75" customHeight="1" x14ac:dyDescent="0.25">
      <c r="B10" s="5" t="s">
        <v>107</v>
      </c>
      <c r="C10" s="45">
        <v>1.52840269729495E-2</v>
      </c>
      <c r="D10" s="53">
        <v>1.52840269729495E-2</v>
      </c>
      <c r="E10" s="53">
        <v>1.6855930909514399E-2</v>
      </c>
      <c r="F10" s="53">
        <v>6.0134083032607998E-3</v>
      </c>
      <c r="G10" s="53">
        <v>5.8562611229717697E-3</v>
      </c>
    </row>
    <row r="11" spans="1:15" ht="15.75" customHeight="1" x14ac:dyDescent="0.25">
      <c r="B11" s="5" t="s">
        <v>119</v>
      </c>
      <c r="C11" s="45">
        <v>7.3088139295578003E-2</v>
      </c>
      <c r="D11" s="53">
        <v>7.3088139295578003E-2</v>
      </c>
      <c r="E11" s="53">
        <v>0</v>
      </c>
      <c r="F11" s="53">
        <v>6.0976725071668599E-3</v>
      </c>
      <c r="G11" s="53">
        <v>1.16582084447146E-2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5">
      <c r="B14" s="11" t="s">
        <v>117</v>
      </c>
      <c r="C14" s="51">
        <v>0.41136791174999998</v>
      </c>
      <c r="D14" s="54">
        <v>0.41779542736699998</v>
      </c>
      <c r="E14" s="54">
        <v>0.41779542736699998</v>
      </c>
      <c r="F14" s="54">
        <v>0.219470227804</v>
      </c>
      <c r="G14" s="54">
        <v>0.219470227804</v>
      </c>
      <c r="H14" s="45">
        <v>0.29799999999999999</v>
      </c>
      <c r="I14" s="55">
        <v>0.29799999999999999</v>
      </c>
      <c r="J14" s="55">
        <v>0.29799999999999999</v>
      </c>
      <c r="K14" s="55">
        <v>0.29799999999999999</v>
      </c>
      <c r="L14" s="45">
        <v>0.29399999999999998</v>
      </c>
      <c r="M14" s="55">
        <v>0.29399999999999998</v>
      </c>
      <c r="N14" s="55">
        <v>0.29399999999999998</v>
      </c>
      <c r="O14" s="55">
        <v>0.29399999999999998</v>
      </c>
    </row>
    <row r="15" spans="1:15" ht="15.75" customHeight="1" x14ac:dyDescent="0.25">
      <c r="B15" s="11" t="s">
        <v>118</v>
      </c>
      <c r="C15" s="52">
        <f t="shared" ref="C15:O15" si="0">iron_deficiency_anaemia*C14</f>
        <v>0.25413240031344447</v>
      </c>
      <c r="D15" s="52">
        <f t="shared" si="0"/>
        <v>0.258103152346221</v>
      </c>
      <c r="E15" s="52">
        <f t="shared" si="0"/>
        <v>0.258103152346221</v>
      </c>
      <c r="F15" s="52">
        <f t="shared" si="0"/>
        <v>0.13558300051138827</v>
      </c>
      <c r="G15" s="52">
        <f t="shared" si="0"/>
        <v>0.13558300051138827</v>
      </c>
      <c r="H15" s="52">
        <f t="shared" si="0"/>
        <v>0.18409665199999997</v>
      </c>
      <c r="I15" s="52">
        <f t="shared" si="0"/>
        <v>0.18409665199999997</v>
      </c>
      <c r="J15" s="52">
        <f t="shared" si="0"/>
        <v>0.18409665199999997</v>
      </c>
      <c r="K15" s="52">
        <f t="shared" si="0"/>
        <v>0.18409665199999997</v>
      </c>
      <c r="L15" s="52">
        <f t="shared" si="0"/>
        <v>0.18162555599999997</v>
      </c>
      <c r="M15" s="52">
        <f t="shared" si="0"/>
        <v>0.18162555599999997</v>
      </c>
      <c r="N15" s="52">
        <f t="shared" si="0"/>
        <v>0.18162555599999997</v>
      </c>
      <c r="O15" s="52">
        <f t="shared" si="0"/>
        <v>0.18162555599999997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n/Pt3KuUzDC4MItICil1xd1uq54UE2wDPSDYzi6yelH5K1V/8w4otaoVQoV3rSaAyehvaksMJcc9+mcTIhVRpw==" saltValue="xZYL4tkc+rWc3Erqxg4wk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5">
      <c r="A2" s="3" t="s">
        <v>123</v>
      </c>
      <c r="B2" s="3" t="s">
        <v>124</v>
      </c>
      <c r="C2" s="45">
        <v>0.29851898550987199</v>
      </c>
      <c r="D2" s="53">
        <v>0.1619959</v>
      </c>
      <c r="E2" s="53"/>
      <c r="F2" s="53"/>
      <c r="G2" s="53"/>
    </row>
    <row r="3" spans="1:7" x14ac:dyDescent="0.25">
      <c r="B3" s="3" t="s">
        <v>127</v>
      </c>
      <c r="C3" s="53">
        <v>0.28573414683342002</v>
      </c>
      <c r="D3" s="53">
        <v>0.27325430000000001</v>
      </c>
      <c r="E3" s="53"/>
      <c r="F3" s="53"/>
      <c r="G3" s="53"/>
    </row>
    <row r="4" spans="1:7" x14ac:dyDescent="0.25">
      <c r="B4" s="3" t="s">
        <v>126</v>
      </c>
      <c r="C4" s="53">
        <v>0.29176387190818798</v>
      </c>
      <c r="D4" s="53">
        <v>0.28245740000000003</v>
      </c>
      <c r="E4" s="53">
        <v>0.45839709043502802</v>
      </c>
      <c r="F4" s="53">
        <v>0.117301903665066</v>
      </c>
      <c r="G4" s="53"/>
    </row>
    <row r="5" spans="1:7" x14ac:dyDescent="0.25">
      <c r="B5" s="3" t="s">
        <v>125</v>
      </c>
      <c r="C5" s="52">
        <v>0.12398301064968099</v>
      </c>
      <c r="D5" s="52">
        <v>0.28229236602783198</v>
      </c>
      <c r="E5" s="52">
        <f>1-SUM(E2:E4)</f>
        <v>0.54160290956497192</v>
      </c>
      <c r="F5" s="52">
        <f>1-SUM(F2:F4)</f>
        <v>0.88269809633493401</v>
      </c>
      <c r="G5" s="52">
        <f>1-SUM(G2:G4)</f>
        <v>1</v>
      </c>
    </row>
  </sheetData>
  <sheetProtection algorithmName="SHA-512" hashValue="brKAuuGv5SGKHqF7QQZkp+Tir2WbqIy8tywSvoQ1adYx9y2nx9Oy7OiI6QEzAgDLQDvPXmdkVd3D1IpoMAM/dw==" saltValue="IcFwbctMdfEKjqdWasblPw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ht="13.25" customHeight="1" x14ac:dyDescent="0.25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ht="13.25" customHeight="1" x14ac:dyDescent="0.25">
      <c r="B3" s="9"/>
    </row>
    <row r="4" spans="1:11" ht="13.25" customHeight="1" x14ac:dyDescent="0.25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ht="13.25" customHeight="1" x14ac:dyDescent="0.25">
      <c r="B5" s="9"/>
    </row>
    <row r="6" spans="1:11" ht="13.25" customHeight="1" x14ac:dyDescent="0.25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ht="13.25" customHeight="1" x14ac:dyDescent="0.25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ht="13.25" customHeight="1" x14ac:dyDescent="0.25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ht="13.25" customHeight="1" x14ac:dyDescent="0.25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ht="13.25" customHeight="1" x14ac:dyDescent="0.25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ht="13.25" customHeight="1" x14ac:dyDescent="0.25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ht="13.25" customHeight="1" x14ac:dyDescent="0.25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XmxG5XQIyW8GPWoxJRNPezJQb0sd3vUTLLaEpF/1LwgceisMuQ2Rw6V1stK4nuNMoGPxP1Mlv/pXX/e+a8orEw==" saltValue="fWy8LRxyqFlD95YHDvujow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147</v>
      </c>
      <c r="B1" s="4" t="s">
        <v>145</v>
      </c>
    </row>
    <row r="2" spans="1:2" ht="13.25" customHeight="1" x14ac:dyDescent="0.25">
      <c r="A2" s="8" t="s">
        <v>144</v>
      </c>
      <c r="B2" s="41">
        <v>10</v>
      </c>
    </row>
    <row r="3" spans="1:2" ht="13.25" customHeight="1" x14ac:dyDescent="0.25">
      <c r="A3" s="8" t="s">
        <v>143</v>
      </c>
      <c r="B3" s="41">
        <v>10</v>
      </c>
    </row>
    <row r="4" spans="1:2" ht="13.25" customHeight="1" x14ac:dyDescent="0.25">
      <c r="A4" s="8" t="s">
        <v>142</v>
      </c>
      <c r="B4" s="41">
        <v>10</v>
      </c>
    </row>
    <row r="5" spans="1:2" ht="13.25" customHeight="1" x14ac:dyDescent="0.25">
      <c r="A5" s="8" t="s">
        <v>146</v>
      </c>
      <c r="B5" s="41">
        <v>10</v>
      </c>
    </row>
    <row r="6" spans="1:2" ht="13.25" customHeight="1" x14ac:dyDescent="0.25">
      <c r="A6" s="8" t="s">
        <v>140</v>
      </c>
      <c r="B6" s="41">
        <v>10</v>
      </c>
    </row>
    <row r="7" spans="1:2" ht="13.25" customHeight="1" x14ac:dyDescent="0.25">
      <c r="A7" s="8" t="s">
        <v>141</v>
      </c>
      <c r="B7" s="41">
        <v>10</v>
      </c>
    </row>
  </sheetData>
  <sheetProtection algorithmName="SHA-512" hashValue="jqfKP0y1k1wPZb9Uy+4q+dFI7LVR3NClVmOsCHKWSmDC4SL3mQreM+vMRUYK1Us68tPTnpv/CCyWfjHzw03qdQ==" saltValue="Zd/jscZW6c0wGQ0yKXZA4w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ht="13" customHeight="1" x14ac:dyDescent="0.3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ht="13.25" customHeight="1" x14ac:dyDescent="0.25">
      <c r="B3" s="32" t="s">
        <v>78</v>
      </c>
      <c r="C3" s="47"/>
      <c r="D3" s="47" t="s">
        <v>5</v>
      </c>
      <c r="E3" s="38" t="str">
        <f>IF(E$7="","",E$7)</f>
        <v/>
      </c>
    </row>
    <row r="4" spans="1:5" ht="13.25" customHeight="1" x14ac:dyDescent="0.25">
      <c r="B4" s="32" t="s">
        <v>74</v>
      </c>
      <c r="C4" s="47"/>
      <c r="D4" s="47" t="s">
        <v>5</v>
      </c>
      <c r="E4" s="38" t="str">
        <f>IF(E$7="","",E$7)</f>
        <v/>
      </c>
    </row>
    <row r="5" spans="1:5" ht="13.25" customHeight="1" x14ac:dyDescent="0.25">
      <c r="B5" s="32" t="s">
        <v>77</v>
      </c>
      <c r="C5" s="47"/>
      <c r="D5" s="47"/>
      <c r="E5" s="38" t="str">
        <f>IF(E$7="","",E$7)</f>
        <v/>
      </c>
    </row>
    <row r="6" spans="1:5" ht="13.25" customHeight="1" x14ac:dyDescent="0.25">
      <c r="B6" s="32" t="s">
        <v>75</v>
      </c>
      <c r="C6" s="47"/>
      <c r="D6" s="47"/>
      <c r="E6" s="38" t="str">
        <f>IF(E$7="","",E$7)</f>
        <v/>
      </c>
    </row>
    <row r="7" spans="1:5" ht="13.25" customHeight="1" x14ac:dyDescent="0.25">
      <c r="B7" s="32" t="s">
        <v>148</v>
      </c>
      <c r="C7" s="31"/>
      <c r="D7" s="30"/>
      <c r="E7" s="47"/>
    </row>
    <row r="9" spans="1:5" ht="13" customHeight="1" x14ac:dyDescent="0.3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ht="13.25" customHeight="1" x14ac:dyDescent="0.25">
      <c r="B10" s="32" t="s">
        <v>78</v>
      </c>
      <c r="C10" s="47"/>
      <c r="D10" s="47"/>
      <c r="E10" s="38" t="str">
        <f>IF(E$7="","",E$7)</f>
        <v/>
      </c>
    </row>
    <row r="11" spans="1:5" ht="13.25" customHeight="1" x14ac:dyDescent="0.25">
      <c r="B11" s="32" t="s">
        <v>74</v>
      </c>
      <c r="C11" s="47"/>
      <c r="D11" s="47"/>
      <c r="E11" s="38" t="str">
        <f>IF(E$7="","",E$7)</f>
        <v/>
      </c>
    </row>
    <row r="12" spans="1:5" ht="13.25" customHeight="1" x14ac:dyDescent="0.25">
      <c r="B12" s="32" t="s">
        <v>77</v>
      </c>
      <c r="C12" s="47"/>
      <c r="D12" s="47" t="s">
        <v>5</v>
      </c>
      <c r="E12" s="38" t="str">
        <f>IF(E$7="","",E$7)</f>
        <v/>
      </c>
    </row>
    <row r="13" spans="1:5" ht="13.25" customHeight="1" x14ac:dyDescent="0.25">
      <c r="B13" s="32" t="s">
        <v>75</v>
      </c>
      <c r="C13" s="47"/>
      <c r="D13" s="47" t="s">
        <v>5</v>
      </c>
      <c r="E13" s="38" t="str">
        <f>IF(E$7="","",E$7)</f>
        <v/>
      </c>
    </row>
    <row r="14" spans="1:5" ht="13.25" customHeight="1" x14ac:dyDescent="0.25">
      <c r="B14" s="32" t="s">
        <v>148</v>
      </c>
      <c r="C14" s="31"/>
      <c r="D14" s="30"/>
      <c r="E14" s="47"/>
    </row>
    <row r="16" spans="1:5" ht="13" customHeight="1" x14ac:dyDescent="0.3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ht="13.25" customHeight="1" x14ac:dyDescent="0.25">
      <c r="B17" s="32" t="s">
        <v>78</v>
      </c>
      <c r="C17" s="47"/>
      <c r="D17" s="47" t="s">
        <v>5</v>
      </c>
      <c r="E17" s="38" t="str">
        <f>IF(E$7="","",E$7)</f>
        <v/>
      </c>
    </row>
    <row r="18" spans="2:5" ht="13.25" customHeight="1" x14ac:dyDescent="0.25">
      <c r="B18" s="32" t="s">
        <v>74</v>
      </c>
      <c r="C18" s="47"/>
      <c r="D18" s="47" t="s">
        <v>5</v>
      </c>
      <c r="E18" s="38" t="str">
        <f>IF(E$7="","",E$7)</f>
        <v/>
      </c>
    </row>
    <row r="19" spans="2:5" ht="13.25" customHeight="1" x14ac:dyDescent="0.25">
      <c r="B19" s="32" t="s">
        <v>77</v>
      </c>
      <c r="C19" s="47"/>
      <c r="D19" s="47" t="s">
        <v>5</v>
      </c>
      <c r="E19" s="38" t="str">
        <f>IF(E$7="","",E$7)</f>
        <v/>
      </c>
    </row>
    <row r="20" spans="2:5" ht="13.25" customHeight="1" x14ac:dyDescent="0.25">
      <c r="B20" s="32" t="s">
        <v>75</v>
      </c>
      <c r="C20" s="47"/>
      <c r="D20" s="47" t="s">
        <v>5</v>
      </c>
      <c r="E20" s="38" t="str">
        <f>IF(E$7="","",E$7)</f>
        <v/>
      </c>
    </row>
    <row r="21" spans="2:5" ht="13.25" customHeight="1" x14ac:dyDescent="0.25">
      <c r="B21" s="32" t="s">
        <v>148</v>
      </c>
      <c r="C21" s="31"/>
      <c r="D21" s="30"/>
      <c r="E21" s="47"/>
    </row>
  </sheetData>
  <sheetProtection algorithmName="SHA-512" hashValue="QMK0tM4uo5JWEA1SmLX0MstaAHqgAXtENaV+sG8LWHA9/jx/ELPHIEVMo85q11WjHeDYgaW2m+NMh8H+OnMSrQ==" saltValue="PVc2WrHmlRN/KTfFYJW7Tg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159</v>
      </c>
      <c r="C1" s="40" t="s">
        <v>161</v>
      </c>
      <c r="D1" s="40" t="s">
        <v>157</v>
      </c>
    </row>
    <row r="2" spans="1:4" ht="13" customHeight="1" x14ac:dyDescent="0.3">
      <c r="A2" s="40" t="s">
        <v>163</v>
      </c>
      <c r="B2" s="32" t="s">
        <v>164</v>
      </c>
      <c r="C2" s="32" t="s">
        <v>162</v>
      </c>
      <c r="D2" s="47"/>
    </row>
    <row r="3" spans="1:4" ht="13" customHeight="1" x14ac:dyDescent="0.3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77e+luDB7Qo82PstyL7UQcxMaAQzsP5dyfZrsYY4HZvgr+4grEw//fT6EUPEmV087IfriH2CReh56eemRQwx5w==" saltValue="F7Pm3HFTGzi1VeCFXaqyH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lang=es</cp:keywords>
  <cp:lastModifiedBy>Tharindu Wickramaarachchi</cp:lastModifiedBy>
  <dcterms:created xsi:type="dcterms:W3CDTF">2017-08-01T10:42:13Z</dcterms:created>
  <dcterms:modified xsi:type="dcterms:W3CDTF">2024-03-18T00:38:37Z</dcterms:modified>
</cp:coreProperties>
</file>