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F4C4A81E-5A4F-4EBF-84A6-EF98238393EE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5" i="2"/>
  <c r="A27" i="2"/>
  <c r="A19" i="2"/>
  <c r="I11" i="2"/>
  <c r="H11" i="2"/>
  <c r="G11" i="2"/>
  <c r="H10" i="2"/>
  <c r="G10" i="2"/>
  <c r="I10" i="2" s="1"/>
  <c r="H9" i="2"/>
  <c r="I9" i="2" s="1"/>
  <c r="G9" i="2"/>
  <c r="H8" i="2"/>
  <c r="G8" i="2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9" i="2" s="1"/>
  <c r="C33" i="1"/>
  <c r="C20" i="1"/>
  <c r="I8" i="2" l="1"/>
  <c r="A36" i="2"/>
  <c r="A13" i="2"/>
  <c r="A21" i="2"/>
  <c r="A22" i="2"/>
  <c r="A20" i="2"/>
  <c r="A37" i="2"/>
  <c r="A14" i="2"/>
  <c r="A30" i="2"/>
  <c r="A38" i="2"/>
  <c r="A40" i="2"/>
  <c r="A15" i="2"/>
  <c r="A23" i="2"/>
  <c r="A31" i="2"/>
  <c r="A12" i="2"/>
  <c r="A28" i="2"/>
  <c r="A29" i="2"/>
  <c r="A16" i="2"/>
  <c r="A24" i="2"/>
  <c r="A32" i="2"/>
  <c r="A3" i="2"/>
  <c r="A4" i="2" s="1"/>
  <c r="A5" i="2" s="1"/>
  <c r="A6" i="2" s="1"/>
  <c r="A7" i="2" s="1"/>
  <c r="A8" i="2" s="1"/>
  <c r="A9" i="2" s="1"/>
  <c r="A10" i="2" s="1"/>
  <c r="A11" i="2" s="1"/>
  <c r="A17" i="2"/>
  <c r="A25" i="2"/>
  <c r="A33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<sst xmlns="http://schemas.openxmlformats.org/spreadsheetml/2006/main" count="2092" uniqueCount="341">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</sst>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1010997.1015625</v>
      </c>
    </row>
    <row r="8" spans="1:3" ht="15" customHeight="1" x14ac:dyDescent="0.25">
      <c r="B8" s="5" t="s">
        <v>44</v>
      </c>
      <c r="C8" s="44">
        <v>0.66299999999999992</v>
      </c>
    </row>
    <row r="9" spans="1:3" ht="15" customHeight="1" x14ac:dyDescent="0.25">
      <c r="B9" s="5" t="s">
        <v>43</v>
      </c>
      <c r="C9" s="45">
        <v>0.99900000000000011</v>
      </c>
    </row>
    <row r="10" spans="1:3" ht="15" customHeight="1" x14ac:dyDescent="0.25">
      <c r="B10" s="5" t="s">
        <v>56</v>
      </c>
      <c r="C10" s="45">
        <v>9.845620155334471E-2</v>
      </c>
    </row>
    <row r="11" spans="1:3" ht="15" customHeight="1" x14ac:dyDescent="0.25">
      <c r="B11" s="5" t="s">
        <v>49</v>
      </c>
      <c r="C11" s="45">
        <v>0.38100000000000001</v>
      </c>
    </row>
    <row r="12" spans="1:3" ht="15" customHeight="1" x14ac:dyDescent="0.25">
      <c r="B12" s="5" t="s">
        <v>41</v>
      </c>
      <c r="C12" s="45">
        <v>0.29799999999999999</v>
      </c>
    </row>
    <row r="13" spans="1:3" ht="15" customHeight="1" x14ac:dyDescent="0.25">
      <c r="B13" s="5" t="s">
        <v>62</v>
      </c>
      <c r="C13" s="45">
        <v>0.71299999999999997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0.10979999999999999</v>
      </c>
    </row>
    <row r="24" spans="1:3" ht="15" customHeight="1" x14ac:dyDescent="0.25">
      <c r="B24" s="15" t="s">
        <v>46</v>
      </c>
      <c r="C24" s="45">
        <v>0.4572</v>
      </c>
    </row>
    <row r="25" spans="1:3" ht="15" customHeight="1" x14ac:dyDescent="0.25">
      <c r="B25" s="15" t="s">
        <v>47</v>
      </c>
      <c r="C25" s="45">
        <v>0.30830000000000002</v>
      </c>
    </row>
    <row r="26" spans="1:3" ht="15" customHeight="1" x14ac:dyDescent="0.25">
      <c r="B26" s="15" t="s">
        <v>48</v>
      </c>
      <c r="C26" s="45">
        <v>0.12470000000000001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0.218364915102184</v>
      </c>
    </row>
    <row r="30" spans="1:3" ht="14.25" customHeight="1" x14ac:dyDescent="0.25">
      <c r="B30" s="25" t="s">
        <v>63</v>
      </c>
      <c r="C30" s="99">
        <v>7.7568108690775697E-2</v>
      </c>
    </row>
    <row r="31" spans="1:3" ht="14.25" customHeight="1" x14ac:dyDescent="0.25">
      <c r="B31" s="25" t="s">
        <v>10</v>
      </c>
      <c r="C31" s="99">
        <v>0.123399588801234</v>
      </c>
    </row>
    <row r="32" spans="1:3" ht="14.25" customHeight="1" x14ac:dyDescent="0.25">
      <c r="B32" s="25" t="s">
        <v>11</v>
      </c>
      <c r="C32" s="99">
        <v>0.58066738740580703</v>
      </c>
    </row>
    <row r="33" spans="1:5" ht="13" customHeight="1" x14ac:dyDescent="0.25">
      <c r="B33" s="27" t="s">
        <v>60</v>
      </c>
      <c r="C33" s="48">
        <f>SUM(C29:C32)</f>
        <v>1.0000000000000009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39.734918925465799</v>
      </c>
    </row>
    <row r="38" spans="1:5" ht="15" customHeight="1" x14ac:dyDescent="0.25">
      <c r="B38" s="11" t="s">
        <v>35</v>
      </c>
      <c r="C38" s="43">
        <v>81.003217021782802</v>
      </c>
      <c r="D38" s="12"/>
      <c r="E38" s="13"/>
    </row>
    <row r="39" spans="1:5" ht="15" customHeight="1" x14ac:dyDescent="0.25">
      <c r="B39" s="11" t="s">
        <v>61</v>
      </c>
      <c r="C39" s="43">
        <v>110.05391226640999</v>
      </c>
      <c r="D39" s="12"/>
      <c r="E39" s="12"/>
    </row>
    <row r="40" spans="1:5" ht="15" customHeight="1" x14ac:dyDescent="0.25">
      <c r="B40" s="11" t="s">
        <v>36</v>
      </c>
      <c r="C40" s="100">
        <v>8.2899999999999991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29.833033879999999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2.8652999999999999E-3</v>
      </c>
      <c r="D45" s="12"/>
    </row>
    <row r="46" spans="1:5" ht="15.75" customHeight="1" x14ac:dyDescent="0.25">
      <c r="B46" s="11" t="s">
        <v>51</v>
      </c>
      <c r="C46" s="45">
        <v>8.5684499999999997E-2</v>
      </c>
      <c r="D46" s="12"/>
    </row>
    <row r="47" spans="1:5" ht="15.75" customHeight="1" x14ac:dyDescent="0.25">
      <c r="B47" s="11" t="s">
        <v>59</v>
      </c>
      <c r="C47" s="45">
        <v>0.1424337</v>
      </c>
      <c r="D47" s="12"/>
      <c r="E47" s="13"/>
    </row>
    <row r="48" spans="1:5" ht="15" customHeight="1" x14ac:dyDescent="0.25">
      <c r="B48" s="11" t="s">
        <v>58</v>
      </c>
      <c r="C48" s="46">
        <v>0.76901649999999999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3.3</v>
      </c>
      <c r="D51" s="12"/>
    </row>
    <row r="52" spans="1:4" ht="15" customHeight="1" x14ac:dyDescent="0.25">
      <c r="B52" s="11" t="s">
        <v>13</v>
      </c>
      <c r="C52" s="100">
        <v>3.3</v>
      </c>
    </row>
    <row r="53" spans="1:4" ht="15.75" customHeight="1" x14ac:dyDescent="0.25">
      <c r="B53" s="11" t="s">
        <v>16</v>
      </c>
      <c r="C53" s="100">
        <v>3.3</v>
      </c>
    </row>
    <row r="54" spans="1:4" ht="15.75" customHeight="1" x14ac:dyDescent="0.25">
      <c r="B54" s="11" t="s">
        <v>14</v>
      </c>
      <c r="C54" s="100">
        <v>3.3</v>
      </c>
    </row>
    <row r="55" spans="1:4" ht="15.75" customHeight="1" x14ac:dyDescent="0.25">
      <c r="B55" s="11" t="s">
        <v>15</v>
      </c>
      <c r="C55" s="100">
        <v>3.3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2.181818181818182E-2</v>
      </c>
    </row>
    <row r="59" spans="1:4" ht="15.75" customHeight="1" x14ac:dyDescent="0.25">
      <c r="B59" s="11" t="s">
        <v>40</v>
      </c>
      <c r="C59" s="45">
        <v>0.44318700000000011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0.14536402000000001</v>
      </c>
    </row>
    <row r="63" spans="1:4" ht="15.75" customHeight="1" x14ac:dyDescent="0.3">
      <c r="A63" s="4"/>
    </row>
  </sheetData>
  <sheetProtection algorithmName="SHA-512" hashValue="4EudGakeKcVarSi+vZ3AqGYuKIcRRc9IKeXk/9QaJbwT++hzq70QsoXL+6mxHTBqE2D2CWdJKPRX0M3Z1KmjBg==" saltValue="fF7h/JHp/BytdA6NaPCQ5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5.4328851862108403E-2</v>
      </c>
      <c r="C2" s="98">
        <v>0.95</v>
      </c>
      <c r="D2" s="56">
        <v>34.034762035053411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54.620859337665578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38.221317431768732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0.1167246337508648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17.30460856515991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17.30460856515991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17.30460856515991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17.30460856515991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17.30460856515991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17.30460856515991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7.3701973915967098E-2</v>
      </c>
      <c r="C16" s="98">
        <v>0.95</v>
      </c>
      <c r="D16" s="56">
        <v>0.23067217612567081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0.6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0.99436129525469097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0.99436129525469097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0.46673053739999998</v>
      </c>
      <c r="C21" s="98">
        <v>0.95</v>
      </c>
      <c r="D21" s="56">
        <v>1.066205212290068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29.45962320280529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3.8962310600000002E-3</v>
      </c>
      <c r="C23" s="98">
        <v>0.95</v>
      </c>
      <c r="D23" s="56">
        <v>5.6236363581689766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0.28717663546475197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6.0415317221096512E-2</v>
      </c>
      <c r="C27" s="98">
        <v>0.95</v>
      </c>
      <c r="D27" s="56">
        <v>25.024511947401859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0.2339136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58.883846304768888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0.17560000000000001</v>
      </c>
      <c r="C31" s="98">
        <v>0.95</v>
      </c>
      <c r="D31" s="56">
        <v>1.226522058081233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0.30438064999999997</v>
      </c>
      <c r="C32" s="98">
        <v>0.95</v>
      </c>
      <c r="D32" s="56">
        <v>0.41624618403907598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0.25319670744926698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0.35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0.12971460000000001</v>
      </c>
      <c r="C38" s="98">
        <v>0.95</v>
      </c>
      <c r="D38" s="56">
        <v>7.7139026016212213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+ys5cqcEJIKP2BIlpNA57ZhvxjruPrVCsFKDg970q5qP9SWNjXmmeeaA89vweu/ouGfA/ItKInQvcdyCmL3e3A==" saltValue="FwLBmtdmT6dBScMopZpFh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Q7UV5D6wUKTC8CPN5WFXY8dYrifnpe4n52K1RXpxL2jYHRSGLyU9ECJ4uSNc6P4xnDhEaOwfi+IK7ND7FH6HGg==" saltValue="vIX5XGQsjzyisWQu13sfY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YQT/ggL+Q+ARJdFYFMuwn8qqVus+pEEFgixTgRCuXqyTPPXgapNZj1slAMcBoo2g/l2+vLEfDyB73VrIZjJx4g==" saltValue="z5Us1gUc1NGsOH13e5u1h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6</v>
      </c>
      <c r="B3" s="21">
        <f>frac_mam_1month * 2.6</f>
        <v>0.10848275880000001</v>
      </c>
      <c r="C3" s="21">
        <f>frac_mam_1_5months * 2.6</f>
        <v>0.10848275880000001</v>
      </c>
      <c r="D3" s="21">
        <f>frac_mam_6_11months * 2.6</f>
        <v>0.1852547242</v>
      </c>
      <c r="E3" s="21">
        <f>frac_mam_12_23months * 2.6</f>
        <v>0.13992891119999998</v>
      </c>
      <c r="F3" s="21">
        <f>frac_mam_24_59months * 2.6</f>
        <v>7.381936900000001E-2</v>
      </c>
    </row>
    <row r="4" spans="1:6" ht="15.75" customHeight="1" x14ac:dyDescent="0.25">
      <c r="A4" s="3" t="s">
        <v>207</v>
      </c>
      <c r="B4" s="21">
        <f>frac_sam_1month * 2.6</f>
        <v>8.2176876600000004E-2</v>
      </c>
      <c r="C4" s="21">
        <f>frac_sam_1_5months * 2.6</f>
        <v>8.2176876600000004E-2</v>
      </c>
      <c r="D4" s="21">
        <f>frac_sam_6_11months * 2.6</f>
        <v>4.8562316400000007E-2</v>
      </c>
      <c r="E4" s="21">
        <f>frac_sam_12_23months * 2.6</f>
        <v>5.4622895600000006E-2</v>
      </c>
      <c r="F4" s="21">
        <f>frac_sam_24_59months * 2.6</f>
        <v>2.61509716E-2</v>
      </c>
    </row>
  </sheetData>
  <sheetProtection algorithmName="SHA-512" hashValue="QP3xjsWacjsHueKEoG8G0bIEJzp9uDzy8QSzc2HBInObYJelps5MspaU6eNzzfC5jfxMrW3Oeyw0U2QaFYlIcA==" saltValue="gJxGgamu9WVMtoQUGAsrQ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0.66299999999999992</v>
      </c>
      <c r="E2" s="60">
        <f>food_insecure</f>
        <v>0.66299999999999992</v>
      </c>
      <c r="F2" s="60">
        <f>food_insecure</f>
        <v>0.66299999999999992</v>
      </c>
      <c r="G2" s="60">
        <f>food_insecure</f>
        <v>0.66299999999999992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0.66299999999999992</v>
      </c>
      <c r="F5" s="60">
        <f>food_insecure</f>
        <v>0.66299999999999992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0.66299999999999992</v>
      </c>
      <c r="F8" s="60">
        <f>food_insecure</f>
        <v>0.66299999999999992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0.66299999999999992</v>
      </c>
      <c r="F9" s="60">
        <f>food_insecure</f>
        <v>0.66299999999999992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0.29799999999999999</v>
      </c>
      <c r="E10" s="60">
        <f>IF(ISBLANK(comm_deliv), frac_children_health_facility,1)</f>
        <v>0.29799999999999999</v>
      </c>
      <c r="F10" s="60">
        <f>IF(ISBLANK(comm_deliv), frac_children_health_facility,1)</f>
        <v>0.29799999999999999</v>
      </c>
      <c r="G10" s="60">
        <f>IF(ISBLANK(comm_deliv), frac_children_health_facility,1)</f>
        <v>0.29799999999999999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0.66299999999999992</v>
      </c>
      <c r="I15" s="60">
        <f>food_insecure</f>
        <v>0.66299999999999992</v>
      </c>
      <c r="J15" s="60">
        <f>food_insecure</f>
        <v>0.66299999999999992</v>
      </c>
      <c r="K15" s="60">
        <f>food_insecure</f>
        <v>0.66299999999999992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0.38100000000000001</v>
      </c>
      <c r="I18" s="60">
        <f>frac_PW_health_facility</f>
        <v>0.38100000000000001</v>
      </c>
      <c r="J18" s="60">
        <f>frac_PW_health_facility</f>
        <v>0.38100000000000001</v>
      </c>
      <c r="K18" s="60">
        <f>frac_PW_health_facility</f>
        <v>0.38100000000000001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0.99900000000000011</v>
      </c>
      <c r="I19" s="60">
        <f>frac_malaria_risk</f>
        <v>0.99900000000000011</v>
      </c>
      <c r="J19" s="60">
        <f>frac_malaria_risk</f>
        <v>0.99900000000000011</v>
      </c>
      <c r="K19" s="60">
        <f>frac_malaria_risk</f>
        <v>0.99900000000000011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0.71299999999999997</v>
      </c>
      <c r="M24" s="60">
        <f>famplan_unmet_need</f>
        <v>0.71299999999999997</v>
      </c>
      <c r="N24" s="60">
        <f>famplan_unmet_need</f>
        <v>0.71299999999999997</v>
      </c>
      <c r="O24" s="60">
        <f>famplan_unmet_need</f>
        <v>0.71299999999999997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0.56727840429658882</v>
      </c>
      <c r="M25" s="60">
        <f>(1-food_insecure)*(0.49)+food_insecure*(0.7)</f>
        <v>0.62922999999999996</v>
      </c>
      <c r="N25" s="60">
        <f>(1-food_insecure)*(0.49)+food_insecure*(0.7)</f>
        <v>0.62922999999999996</v>
      </c>
      <c r="O25" s="60">
        <f>(1-food_insecure)*(0.49)+food_insecure*(0.7)</f>
        <v>0.62922999999999996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0.24311931612710952</v>
      </c>
      <c r="M26" s="60">
        <f>(1-food_insecure)*(0.21)+food_insecure*(0.3)</f>
        <v>0.26966999999999997</v>
      </c>
      <c r="N26" s="60">
        <f>(1-food_insecure)*(0.21)+food_insecure*(0.3)</f>
        <v>0.26966999999999997</v>
      </c>
      <c r="O26" s="60">
        <f>(1-food_insecure)*(0.21)+food_insecure*(0.3)</f>
        <v>0.26966999999999997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9.1146078022956878E-2</v>
      </c>
      <c r="M27" s="60">
        <f>(1-food_insecure)*(0.3)</f>
        <v>0.10110000000000002</v>
      </c>
      <c r="N27" s="60">
        <f>(1-food_insecure)*(0.3)</f>
        <v>0.10110000000000002</v>
      </c>
      <c r="O27" s="60">
        <f>(1-food_insecure)*(0.3)</f>
        <v>0.10110000000000002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9.8456201553344724E-2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0.99900000000000011</v>
      </c>
      <c r="D34" s="60">
        <f t="shared" si="3"/>
        <v>0.99900000000000011</v>
      </c>
      <c r="E34" s="60">
        <f t="shared" si="3"/>
        <v>0.99900000000000011</v>
      </c>
      <c r="F34" s="60">
        <f t="shared" si="3"/>
        <v>0.99900000000000011</v>
      </c>
      <c r="G34" s="60">
        <f t="shared" si="3"/>
        <v>0.99900000000000011</v>
      </c>
      <c r="H34" s="60">
        <f t="shared" si="3"/>
        <v>0.99900000000000011</v>
      </c>
      <c r="I34" s="60">
        <f t="shared" si="3"/>
        <v>0.99900000000000011</v>
      </c>
      <c r="J34" s="60">
        <f t="shared" si="3"/>
        <v>0.99900000000000011</v>
      </c>
      <c r="K34" s="60">
        <f t="shared" si="3"/>
        <v>0.99900000000000011</v>
      </c>
      <c r="L34" s="60">
        <f t="shared" si="3"/>
        <v>0.99900000000000011</v>
      </c>
      <c r="M34" s="60">
        <f t="shared" si="3"/>
        <v>0.99900000000000011</v>
      </c>
      <c r="N34" s="60">
        <f t="shared" si="3"/>
        <v>0.99900000000000011</v>
      </c>
      <c r="O34" s="60">
        <f t="shared" si="3"/>
        <v>0.99900000000000011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w5HJqhDr+W9X2bAOHpV3Sa53t7cySbQZtSkg0F3adb34DK9/V6V6YVqiQQ5qKeqnG5QnBftGwkzFOwXRSCUJUQ==" saltValue="NTjrn59UXdMcpKhyyOPcI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2nfsL/YQfpuKkmnkfUEl5zCOEpAo8bN/ZDxrfbPm5fSv0ctw7UXpIYUlsSkdjiCeKSHlCb6s+sJi/ty59HHFHw==" saltValue="GZoE5WFyt/+22Yr0vM0JJ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uaQhJfSc4CjLW9r8ByZltmNB0KgZbw2VotOd7mNUGnF7Fg98b1QKWJy6MRcdvq9ibdrEclRvBCs3gBYjZIa8JQ==" saltValue="ZBSjx9tz5lfc5zALv9lJA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nGAh6BSos5ZfgX/aTn/GjQxEZStYCnd1Jc493UWnrZLmMr+Xk24l0vFYECvn9EecSICY6Y/J4MgSH/ajIdq4wQ==" saltValue="bb2xQdD5aoi4+qN5K3DR+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jw3V3k3y0tFrmgHUW234Jjfu+gsYP0eijKeb1SzVYay7rR2s0ZdxLsVTl2Rutm66fVmLSVb2zZcxBAYsuFAw4A==" saltValue="1BO23wrJgTNbOgphqAfuP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0+tbfI+x5puWpqVXEypUzAiit3dxMR1gW/GF1ZzpJUpmZR2wfUEHJs1fKSkLSpS0iHtG/uGAHbi751+iUo9lQg==" saltValue="vchTW48xjTqWY6kqzV1/o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172641.51459999999</v>
      </c>
      <c r="C2" s="49">
        <v>299000</v>
      </c>
      <c r="D2" s="49">
        <v>449000</v>
      </c>
      <c r="E2" s="49">
        <v>283000</v>
      </c>
      <c r="F2" s="49">
        <v>188000</v>
      </c>
      <c r="G2" s="17">
        <f t="shared" ref="G2:G11" si="0">C2+D2+E2+F2</f>
        <v>1219000</v>
      </c>
      <c r="H2" s="17">
        <f t="shared" ref="H2:H11" si="1">(B2 + stillbirth*B2/(1000-stillbirth))/(1-abortion)</f>
        <v>202216.26397235613</v>
      </c>
      <c r="I2" s="17">
        <f t="shared" ref="I2:I11" si="2">G2-H2</f>
        <v>1016783.7360276439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175470.2648</v>
      </c>
      <c r="C3" s="50">
        <v>305000</v>
      </c>
      <c r="D3" s="50">
        <v>467000</v>
      </c>
      <c r="E3" s="50">
        <v>292000</v>
      </c>
      <c r="F3" s="50">
        <v>194000</v>
      </c>
      <c r="G3" s="17">
        <f t="shared" si="0"/>
        <v>1258000</v>
      </c>
      <c r="H3" s="17">
        <f t="shared" si="1"/>
        <v>205529.59969279621</v>
      </c>
      <c r="I3" s="17">
        <f t="shared" si="2"/>
        <v>1052470.4003072039</v>
      </c>
    </row>
    <row r="4" spans="1:9" ht="15.75" customHeight="1" x14ac:dyDescent="0.25">
      <c r="A4" s="5">
        <f t="shared" si="3"/>
        <v>2023</v>
      </c>
      <c r="B4" s="49">
        <v>178498.12479999999</v>
      </c>
      <c r="C4" s="50">
        <v>310000</v>
      </c>
      <c r="D4" s="50">
        <v>486000</v>
      </c>
      <c r="E4" s="50">
        <v>301000</v>
      </c>
      <c r="F4" s="50">
        <v>200000</v>
      </c>
      <c r="G4" s="17">
        <f t="shared" si="0"/>
        <v>1297000</v>
      </c>
      <c r="H4" s="17">
        <f t="shared" si="1"/>
        <v>209076.15417275403</v>
      </c>
      <c r="I4" s="17">
        <f t="shared" si="2"/>
        <v>1087923.8458272461</v>
      </c>
    </row>
    <row r="5" spans="1:9" ht="15.75" customHeight="1" x14ac:dyDescent="0.25">
      <c r="A5" s="5">
        <f t="shared" si="3"/>
        <v>2024</v>
      </c>
      <c r="B5" s="49">
        <v>181586.0045999999</v>
      </c>
      <c r="C5" s="50">
        <v>314000</v>
      </c>
      <c r="D5" s="50">
        <v>505000</v>
      </c>
      <c r="E5" s="50">
        <v>311000</v>
      </c>
      <c r="F5" s="50">
        <v>207000</v>
      </c>
      <c r="G5" s="17">
        <f t="shared" si="0"/>
        <v>1337000</v>
      </c>
      <c r="H5" s="17">
        <f t="shared" si="1"/>
        <v>212693.01028177526</v>
      </c>
      <c r="I5" s="17">
        <f t="shared" si="2"/>
        <v>1124306.9897182249</v>
      </c>
    </row>
    <row r="6" spans="1:9" ht="15.75" customHeight="1" x14ac:dyDescent="0.25">
      <c r="A6" s="5">
        <f t="shared" si="3"/>
        <v>2025</v>
      </c>
      <c r="B6" s="49">
        <v>184732.29500000001</v>
      </c>
      <c r="C6" s="50">
        <v>319000</v>
      </c>
      <c r="D6" s="50">
        <v>523000</v>
      </c>
      <c r="E6" s="50">
        <v>324000</v>
      </c>
      <c r="F6" s="50">
        <v>213000</v>
      </c>
      <c r="G6" s="17">
        <f t="shared" si="0"/>
        <v>1379000</v>
      </c>
      <c r="H6" s="17">
        <f t="shared" si="1"/>
        <v>216378.28315217508</v>
      </c>
      <c r="I6" s="17">
        <f t="shared" si="2"/>
        <v>1162621.7168478249</v>
      </c>
    </row>
    <row r="7" spans="1:9" ht="15.75" customHeight="1" x14ac:dyDescent="0.25">
      <c r="A7" s="5">
        <f t="shared" si="3"/>
        <v>2026</v>
      </c>
      <c r="B7" s="49">
        <v>186966.78479999999</v>
      </c>
      <c r="C7" s="50">
        <v>323000</v>
      </c>
      <c r="D7" s="50">
        <v>538000</v>
      </c>
      <c r="E7" s="50">
        <v>336000</v>
      </c>
      <c r="F7" s="50">
        <v>221000</v>
      </c>
      <c r="G7" s="17">
        <f t="shared" si="0"/>
        <v>1418000</v>
      </c>
      <c r="H7" s="17">
        <f t="shared" si="1"/>
        <v>218995.55733612351</v>
      </c>
      <c r="I7" s="17">
        <f t="shared" si="2"/>
        <v>1199004.4426638766</v>
      </c>
    </row>
    <row r="8" spans="1:9" ht="15.75" customHeight="1" x14ac:dyDescent="0.25">
      <c r="A8" s="5">
        <f t="shared" si="3"/>
        <v>2027</v>
      </c>
      <c r="B8" s="49">
        <v>189148.5796</v>
      </c>
      <c r="C8" s="50">
        <v>326000</v>
      </c>
      <c r="D8" s="50">
        <v>552000</v>
      </c>
      <c r="E8" s="50">
        <v>351000</v>
      </c>
      <c r="F8" s="50">
        <v>227000</v>
      </c>
      <c r="G8" s="17">
        <f t="shared" si="0"/>
        <v>1456000</v>
      </c>
      <c r="H8" s="17">
        <f t="shared" si="1"/>
        <v>221551.1094826193</v>
      </c>
      <c r="I8" s="17">
        <f t="shared" si="2"/>
        <v>1234448.8905173808</v>
      </c>
    </row>
    <row r="9" spans="1:9" ht="15.75" customHeight="1" x14ac:dyDescent="0.25">
      <c r="A9" s="5">
        <f t="shared" si="3"/>
        <v>2028</v>
      </c>
      <c r="B9" s="49">
        <v>191276.64319999999</v>
      </c>
      <c r="C9" s="50">
        <v>330000</v>
      </c>
      <c r="D9" s="50">
        <v>566000</v>
      </c>
      <c r="E9" s="50">
        <v>367000</v>
      </c>
      <c r="F9" s="50">
        <v>235000</v>
      </c>
      <c r="G9" s="17">
        <f t="shared" si="0"/>
        <v>1498000</v>
      </c>
      <c r="H9" s="17">
        <f t="shared" si="1"/>
        <v>224043.72588305236</v>
      </c>
      <c r="I9" s="17">
        <f t="shared" si="2"/>
        <v>1273956.2741169475</v>
      </c>
    </row>
    <row r="10" spans="1:9" ht="15.75" customHeight="1" x14ac:dyDescent="0.25">
      <c r="A10" s="5">
        <f t="shared" si="3"/>
        <v>2029</v>
      </c>
      <c r="B10" s="49">
        <v>193414.48620000001</v>
      </c>
      <c r="C10" s="50">
        <v>334000</v>
      </c>
      <c r="D10" s="50">
        <v>580000</v>
      </c>
      <c r="E10" s="50">
        <v>384000</v>
      </c>
      <c r="F10" s="50">
        <v>242000</v>
      </c>
      <c r="G10" s="17">
        <f t="shared" si="0"/>
        <v>1540000</v>
      </c>
      <c r="H10" s="17">
        <f t="shared" si="1"/>
        <v>226547.79696596129</v>
      </c>
      <c r="I10" s="17">
        <f t="shared" si="2"/>
        <v>1313452.2030340387</v>
      </c>
    </row>
    <row r="11" spans="1:9" ht="15.75" customHeight="1" x14ac:dyDescent="0.25">
      <c r="A11" s="5">
        <f t="shared" si="3"/>
        <v>2030</v>
      </c>
      <c r="B11" s="49">
        <v>195527.07199999999</v>
      </c>
      <c r="C11" s="50">
        <v>337000</v>
      </c>
      <c r="D11" s="50">
        <v>592000</v>
      </c>
      <c r="E11" s="50">
        <v>401000</v>
      </c>
      <c r="F11" s="50">
        <v>250000</v>
      </c>
      <c r="G11" s="17">
        <f t="shared" si="0"/>
        <v>1580000</v>
      </c>
      <c r="H11" s="17">
        <f t="shared" si="1"/>
        <v>229022.28410647807</v>
      </c>
      <c r="I11" s="17">
        <f t="shared" si="2"/>
        <v>1350977.7158935219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MJwwkJ/HyKEMF5Xcs7X2mGUld/5kDxQjpgP5QY6qfOvkyJ2QHFFfh8JfM9t9ZZLfO80o8dHv7fjFADduAwoXHQ==" saltValue="B09iC+9p8MEAK/FYjoHNb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2.0663291257674383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2.0663291257674383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7.0584210906923728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7.0584210906923728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1.6346499930459948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1.6346499930459948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2.6693902678551757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2.6693902678551757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BVFC9O2T1xQGhNHkczdxSEmeFc28K1zaceCfHjuZB5qBROJkPoBza6FCAKNy1wC/AiZsYGCOYm3EKHM4UlRO2Q==" saltValue="IdF0+0P+bb5iGDpPzn162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LtYxrqssm8KMiGotVPGvQD6wSIzBgqfqFtxwPzEOvTKt8LV6TJRXUcjb2MOy9JLDHGWdeNCm98YAWz4QgUQ1Ug==" saltValue="ChYwXG0XrAPGC5BEnZAiL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gKNtX6WG/N/nXbeK0a0mMZGG0Ug6tXTunKDDk7Bz2S328KsSOYhk0tM3KI+S2NQr+C4C87BeQNxkq2omxBGGww==" saltValue="S5Aa0x+5qTtKsTO7IChid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0.58467642547510457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0.525825850780961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0.85309273005741226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0.82060641961936609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0.85309273005741226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0.82060641961936609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0.38354566973357335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0.32890742089102437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0.81775898309350248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0.77947891564613814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0.81775898309350248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0.77947891564613814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0.90105334107554858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0.87765174143971736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0.88897082825452023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0.86314564709818531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0.88897082825452023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0.86314564709818531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LNfC1bmtphDhwBUwOkm8KdkNvku67tj8CscrPAdE4IlpnpdSUOtTXED5F3nbONbttL07N6nsxLvqjwmmXNtH5g==" saltValue="GPapkPyayMmMy4TVJySS2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NsTVCXOjL1IPkL2EguBA/wN9zJoSgiEipwCyf+c9jmhOu9YGwqESkNDOmJOhn466ETzvHe5VT/piAJiRnRFAXA==" saltValue="SQsmfrdW4MNdZSKhCR+3e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0.30139256929636538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0.43922174557964888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0.43922174557964888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0.55087899396894646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0.55087899396894646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0.55087899396894646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0.55087899396894646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0.58402662229617319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0.58402662229617319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0.58402662229617319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0.58402662229617319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0.40159045309292035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0.54921799953521955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0.54921799953521955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0.6561210453920221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0.6561210453920221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0.6561210453920221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0.6561210453920221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0.68592964824120606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0.68592964824120606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0.68592964824120606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0.68592964824120606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0.16454473906522579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0.26338663176890686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0.26338663176890686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0.3589564926558711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0.3589564926558711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0.3589564926558711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0.3589564926558711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0.39059933230883376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0.39059933230883376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0.39059933230883376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0.39059933230883376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0.28133704385081693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0.41544882063701427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0.41544882063701427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0.5267392333175579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0.5267392333175579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0.5267392333175579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0.5267392333175579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0.5602462620932277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0.5602462620932277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0.5602462620932277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0.5602462620932277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0.84435059670608381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0.9078210869520118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0.9078210869520118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0.93910978505754139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0.93910978505754139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0.93910978505754139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0.93910978505754139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0.94639219470354896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0.94639219470354896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0.94639219470354896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0.94639219470354896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0.65863339559430822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0.77791624321639297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0.77791624321639297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0.84580988358646203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0.84580988358646203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0.84580988358646203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0.84580988358646203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0.86261849155103754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0.86261849155103754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0.86261849155103754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0.86261849155103754</v>
      </c>
    </row>
  </sheetData>
  <sheetProtection algorithmName="SHA-512" hashValue="dyiFXRnSVwLce/qvT49Q58/3H3B0dWKxcV/wV9EiNh+a7jBtevBGOIitdqkTxoSmmkS2o7yGSVKZ371XWXoTFA==" saltValue="ECY2r2cnQrRa7/+hcGnsa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0.74583976451471923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0.74834559841726023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0.74789746370134857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0.74998900216772701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0.74384368306979887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0.73783477548821208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0.74141602845817844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0.7464674337591527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0.6420032327253935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0.64504560245728249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0.64450090156348872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0.64704542832669354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0.63958573070838132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0.63233997069734593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0.63665264749670614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0.64276451089150977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0.85820549416152314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0.85981171490168506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0.85952481385031676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0.8608625398645563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0.85692260251969909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0.85304223465234486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0.85535823449566761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0.85860827319136823</v>
      </c>
    </row>
  </sheetData>
  <sheetProtection algorithmName="SHA-512" hashValue="txia2+8B/dNYF/RaDP4ya2jqRv4z0ogohTCMbJVCXUNHk12zyCfvKQMSTX5eiuuX3Yu7dGF3X/9WFiWr/qhSYQ==" saltValue="rXN8YXxjIAlTN/zOygfcG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FrUuHPAnXi/xhiwisLM0AVQBhc0TLYgfGHlwhffN4JlLMXPhhTwTv5dlPtahWTRVMy31gC5fFt31ybv1K4NdwQ==" saltValue="yrYLY//bPP3ZF+oTK+kha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76cVN5iMlOMCQVSOgItAWS4bZJ/WlrvziGOw8jiCBarxRsKMBlX7ELMH7mZxT/YHm6wH4W5JspED29Z7FnvrcQ==" saltValue="7QGEY41YlRIYlofSuhylM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9.2187999864551898E-3</v>
      </c>
    </row>
    <row r="4" spans="1:8" ht="15.75" customHeight="1" x14ac:dyDescent="0.25">
      <c r="B4" s="19" t="s">
        <v>97</v>
      </c>
      <c r="C4" s="101">
        <v>0.15512116525038569</v>
      </c>
    </row>
    <row r="5" spans="1:8" ht="15.75" customHeight="1" x14ac:dyDescent="0.25">
      <c r="B5" s="19" t="s">
        <v>95</v>
      </c>
      <c r="C5" s="101">
        <v>7.305319162171324E-2</v>
      </c>
    </row>
    <row r="6" spans="1:8" ht="15.75" customHeight="1" x14ac:dyDescent="0.25">
      <c r="B6" s="19" t="s">
        <v>91</v>
      </c>
      <c r="C6" s="101">
        <v>0.3024204826278003</v>
      </c>
    </row>
    <row r="7" spans="1:8" ht="15.75" customHeight="1" x14ac:dyDescent="0.25">
      <c r="B7" s="19" t="s">
        <v>96</v>
      </c>
      <c r="C7" s="101">
        <v>0.3045895632128986</v>
      </c>
    </row>
    <row r="8" spans="1:8" ht="15.75" customHeight="1" x14ac:dyDescent="0.25">
      <c r="B8" s="19" t="s">
        <v>98</v>
      </c>
      <c r="C8" s="101">
        <v>3.4776688210666457E-2</v>
      </c>
    </row>
    <row r="9" spans="1:8" ht="15.75" customHeight="1" x14ac:dyDescent="0.25">
      <c r="B9" s="19" t="s">
        <v>92</v>
      </c>
      <c r="C9" s="101">
        <v>5.465318979156266E-2</v>
      </c>
    </row>
    <row r="10" spans="1:8" ht="15.75" customHeight="1" x14ac:dyDescent="0.25">
      <c r="B10" s="19" t="s">
        <v>94</v>
      </c>
      <c r="C10" s="101">
        <v>6.6166919298517868E-2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0.1390005468096448</v>
      </c>
      <c r="D14" s="55">
        <v>0.1390005468096448</v>
      </c>
      <c r="E14" s="55">
        <v>0.1390005468096448</v>
      </c>
      <c r="F14" s="55">
        <v>0.1390005468096448</v>
      </c>
    </row>
    <row r="15" spans="1:8" ht="15.75" customHeight="1" x14ac:dyDescent="0.25">
      <c r="B15" s="19" t="s">
        <v>102</v>
      </c>
      <c r="C15" s="101">
        <v>0.19959610888653981</v>
      </c>
      <c r="D15" s="101">
        <v>0.19959610888653981</v>
      </c>
      <c r="E15" s="101">
        <v>0.19959610888653981</v>
      </c>
      <c r="F15" s="101">
        <v>0.19959610888653981</v>
      </c>
    </row>
    <row r="16" spans="1:8" ht="15.75" customHeight="1" x14ac:dyDescent="0.25">
      <c r="B16" s="19" t="s">
        <v>2</v>
      </c>
      <c r="C16" s="101">
        <v>4.5205849421433783E-2</v>
      </c>
      <c r="D16" s="101">
        <v>4.5205849421433783E-2</v>
      </c>
      <c r="E16" s="101">
        <v>4.5205849421433783E-2</v>
      </c>
      <c r="F16" s="101">
        <v>4.5205849421433783E-2</v>
      </c>
    </row>
    <row r="17" spans="1:8" ht="15.75" customHeight="1" x14ac:dyDescent="0.25">
      <c r="B17" s="19" t="s">
        <v>90</v>
      </c>
      <c r="C17" s="101">
        <v>4.2049360431394137E-2</v>
      </c>
      <c r="D17" s="101">
        <v>4.2049360431394137E-2</v>
      </c>
      <c r="E17" s="101">
        <v>4.2049360431394137E-2</v>
      </c>
      <c r="F17" s="101">
        <v>4.2049360431394137E-2</v>
      </c>
    </row>
    <row r="18" spans="1:8" ht="15.75" customHeight="1" x14ac:dyDescent="0.25">
      <c r="B18" s="19" t="s">
        <v>3</v>
      </c>
      <c r="C18" s="101">
        <v>0.26809225764596661</v>
      </c>
      <c r="D18" s="101">
        <v>0.26809225764596661</v>
      </c>
      <c r="E18" s="101">
        <v>0.26809225764596661</v>
      </c>
      <c r="F18" s="101">
        <v>0.26809225764596661</v>
      </c>
    </row>
    <row r="19" spans="1:8" ht="15.75" customHeight="1" x14ac:dyDescent="0.25">
      <c r="B19" s="19" t="s">
        <v>101</v>
      </c>
      <c r="C19" s="101">
        <v>1.103420434584455E-2</v>
      </c>
      <c r="D19" s="101">
        <v>1.103420434584455E-2</v>
      </c>
      <c r="E19" s="101">
        <v>1.103420434584455E-2</v>
      </c>
      <c r="F19" s="101">
        <v>1.103420434584455E-2</v>
      </c>
    </row>
    <row r="20" spans="1:8" ht="15.75" customHeight="1" x14ac:dyDescent="0.25">
      <c r="B20" s="19" t="s">
        <v>79</v>
      </c>
      <c r="C20" s="101">
        <v>2.199961043492531E-2</v>
      </c>
      <c r="D20" s="101">
        <v>2.199961043492531E-2</v>
      </c>
      <c r="E20" s="101">
        <v>2.199961043492531E-2</v>
      </c>
      <c r="F20" s="101">
        <v>2.199961043492531E-2</v>
      </c>
    </row>
    <row r="21" spans="1:8" ht="15.75" customHeight="1" x14ac:dyDescent="0.25">
      <c r="B21" s="19" t="s">
        <v>88</v>
      </c>
      <c r="C21" s="101">
        <v>6.1995460816768128E-2</v>
      </c>
      <c r="D21" s="101">
        <v>6.1995460816768128E-2</v>
      </c>
      <c r="E21" s="101">
        <v>6.1995460816768128E-2</v>
      </c>
      <c r="F21" s="101">
        <v>6.1995460816768128E-2</v>
      </c>
    </row>
    <row r="22" spans="1:8" ht="15.75" customHeight="1" x14ac:dyDescent="0.25">
      <c r="B22" s="19" t="s">
        <v>99</v>
      </c>
      <c r="C22" s="101">
        <v>0.2110266012074829</v>
      </c>
      <c r="D22" s="101">
        <v>0.2110266012074829</v>
      </c>
      <c r="E22" s="101">
        <v>0.2110266012074829</v>
      </c>
      <c r="F22" s="101">
        <v>0.2110266012074829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8.640991000000002E-2</v>
      </c>
    </row>
    <row r="27" spans="1:8" ht="15.75" customHeight="1" x14ac:dyDescent="0.25">
      <c r="B27" s="19" t="s">
        <v>89</v>
      </c>
      <c r="C27" s="101">
        <v>8.5227879999999999E-3</v>
      </c>
    </row>
    <row r="28" spans="1:8" ht="15.75" customHeight="1" x14ac:dyDescent="0.25">
      <c r="B28" s="19" t="s">
        <v>103</v>
      </c>
      <c r="C28" s="101">
        <v>0.151297399</v>
      </c>
    </row>
    <row r="29" spans="1:8" ht="15.75" customHeight="1" x14ac:dyDescent="0.25">
      <c r="B29" s="19" t="s">
        <v>86</v>
      </c>
      <c r="C29" s="101">
        <v>0.16589246799999999</v>
      </c>
    </row>
    <row r="30" spans="1:8" ht="15.75" customHeight="1" x14ac:dyDescent="0.25">
      <c r="B30" s="19" t="s">
        <v>4</v>
      </c>
      <c r="C30" s="101">
        <v>0.10344083900000001</v>
      </c>
    </row>
    <row r="31" spans="1:8" ht="15.75" customHeight="1" x14ac:dyDescent="0.25">
      <c r="B31" s="19" t="s">
        <v>80</v>
      </c>
      <c r="C31" s="101">
        <v>0.10754699400000001</v>
      </c>
    </row>
    <row r="32" spans="1:8" ht="15.75" customHeight="1" x14ac:dyDescent="0.25">
      <c r="B32" s="19" t="s">
        <v>85</v>
      </c>
      <c r="C32" s="101">
        <v>1.8445415E-2</v>
      </c>
    </row>
    <row r="33" spans="2:3" ht="15.75" customHeight="1" x14ac:dyDescent="0.25">
      <c r="B33" s="19" t="s">
        <v>100</v>
      </c>
      <c r="C33" s="101">
        <v>8.3029338999999994E-2</v>
      </c>
    </row>
    <row r="34" spans="2:3" ht="15.75" customHeight="1" x14ac:dyDescent="0.25">
      <c r="B34" s="19" t="s">
        <v>87</v>
      </c>
      <c r="C34" s="101">
        <v>0.27541484799999999</v>
      </c>
    </row>
    <row r="35" spans="2:3" ht="15.75" customHeight="1" x14ac:dyDescent="0.25">
      <c r="B35" s="27" t="s">
        <v>60</v>
      </c>
      <c r="C35" s="48">
        <f>SUM(C26:C34)</f>
        <v>1</v>
      </c>
    </row>
  </sheetData>
  <sheetProtection algorithmName="SHA-512" hashValue="6lPMSfh6bU6wibn4nvdLpxIqR7Yd3CbifCO4RPsd2Iik5FDm1Ptj2EQjLKpVGZ4C5TnfaF6RYGNP82ZiKX7qEw==" saltValue="ufiYyUZIxlNlngiGCVgOR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0.54098888956573243</v>
      </c>
      <c r="D2" s="52">
        <f>IFERROR(1-_xlfn.NORM.DIST(_xlfn.NORM.INV(SUM(D4:D5), 0, 1) + 1, 0, 1, TRUE), "")</f>
        <v>0.54098888956573243</v>
      </c>
      <c r="E2" s="52">
        <f>IFERROR(1-_xlfn.NORM.DIST(_xlfn.NORM.INV(SUM(E4:E5), 0, 1) + 1, 0, 1, TRUE), "")</f>
        <v>0.42579574716623525</v>
      </c>
      <c r="F2" s="52">
        <f>IFERROR(1-_xlfn.NORM.DIST(_xlfn.NORM.INV(SUM(F4:F5), 0, 1) + 1, 0, 1, TRUE), "")</f>
        <v>0.24679984924398335</v>
      </c>
      <c r="G2" s="52">
        <f>IFERROR(1-_xlfn.NORM.DIST(_xlfn.NORM.INV(SUM(G4:G5), 0, 1) + 1, 0, 1, TRUE), "")</f>
        <v>0.17238926718511649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0.32398131743426761</v>
      </c>
      <c r="D3" s="52">
        <f>IFERROR(_xlfn.NORM.DIST(_xlfn.NORM.INV(SUM(D4:D5), 0, 1) + 1, 0, 1, TRUE) - SUM(D4:D5), "")</f>
        <v>0.32398131743426761</v>
      </c>
      <c r="E3" s="52">
        <f>IFERROR(_xlfn.NORM.DIST(_xlfn.NORM.INV(SUM(E4:E5), 0, 1) + 1, 0, 1, TRUE) - SUM(E4:E5), "")</f>
        <v>0.36606994383376473</v>
      </c>
      <c r="F3" s="52">
        <f>IFERROR(_xlfn.NORM.DIST(_xlfn.NORM.INV(SUM(F4:F5), 0, 1) + 1, 0, 1, TRUE) - SUM(F4:F5), "")</f>
        <v>0.37697317075601666</v>
      </c>
      <c r="G3" s="52">
        <f>IFERROR(_xlfn.NORM.DIST(_xlfn.NORM.INV(SUM(G4:G5), 0, 1) + 1, 0, 1, TRUE) - SUM(G4:G5), "")</f>
        <v>0.34963485281488355</v>
      </c>
    </row>
    <row r="4" spans="1:15" ht="15.75" customHeight="1" x14ac:dyDescent="0.25">
      <c r="B4" s="5" t="s">
        <v>110</v>
      </c>
      <c r="C4" s="45">
        <v>9.4684276999999997E-2</v>
      </c>
      <c r="D4" s="53">
        <v>9.4684276999999997E-2</v>
      </c>
      <c r="E4" s="53">
        <v>0.12541483</v>
      </c>
      <c r="F4" s="53">
        <v>0.20625653999999999</v>
      </c>
      <c r="G4" s="53">
        <v>0.22179442999999999</v>
      </c>
    </row>
    <row r="5" spans="1:15" ht="15.75" customHeight="1" x14ac:dyDescent="0.25">
      <c r="B5" s="5" t="s">
        <v>106</v>
      </c>
      <c r="C5" s="45">
        <v>4.0345515999999998E-2</v>
      </c>
      <c r="D5" s="53">
        <v>4.0345515999999998E-2</v>
      </c>
      <c r="E5" s="53">
        <v>8.2719479000000012E-2</v>
      </c>
      <c r="F5" s="53">
        <v>0.16997044</v>
      </c>
      <c r="G5" s="53">
        <v>0.25618144999999998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0.67415874705839984</v>
      </c>
      <c r="D8" s="52">
        <f>IFERROR(1-_xlfn.NORM.DIST(_xlfn.NORM.INV(SUM(D10:D11), 0, 1) + 1, 0, 1, TRUE), "")</f>
        <v>0.67415874705839984</v>
      </c>
      <c r="E8" s="52">
        <f>IFERROR(1-_xlfn.NORM.DIST(_xlfn.NORM.INV(SUM(E10:E11), 0, 1) + 1, 0, 1, TRUE), "")</f>
        <v>0.63351915666396841</v>
      </c>
      <c r="F8" s="52">
        <f>IFERROR(1-_xlfn.NORM.DIST(_xlfn.NORM.INV(SUM(F10:F11), 0, 1) + 1, 0, 1, TRUE), "")</f>
        <v>0.67030311498289996</v>
      </c>
      <c r="G8" s="52">
        <f>IFERROR(1-_xlfn.NORM.DIST(_xlfn.NORM.INV(SUM(G10:G11), 0, 1) + 1, 0, 1, TRUE), "")</f>
        <v>0.77904198399784197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0.25251062394160018</v>
      </c>
      <c r="D9" s="52">
        <f>IFERROR(_xlfn.NORM.DIST(_xlfn.NORM.INV(SUM(D10:D11), 0, 1) + 1, 0, 1, TRUE) - SUM(D10:D11), "")</f>
        <v>0.25251062394160018</v>
      </c>
      <c r="E9" s="52">
        <f>IFERROR(_xlfn.NORM.DIST(_xlfn.NORM.INV(SUM(E10:E11), 0, 1) + 1, 0, 1, TRUE) - SUM(E10:E11), "")</f>
        <v>0.27655121233603158</v>
      </c>
      <c r="F9" s="52">
        <f>IFERROR(_xlfn.NORM.DIST(_xlfn.NORM.INV(SUM(F10:F11), 0, 1) + 1, 0, 1, TRUE) - SUM(F10:F11), "")</f>
        <v>0.25486926701710005</v>
      </c>
      <c r="G9" s="52">
        <f>IFERROR(_xlfn.NORM.DIST(_xlfn.NORM.INV(SUM(G10:G11), 0, 1) + 1, 0, 1, TRUE) - SUM(G10:G11), "")</f>
        <v>0.18250788500215803</v>
      </c>
    </row>
    <row r="10" spans="1:15" ht="15.75" customHeight="1" x14ac:dyDescent="0.25">
      <c r="B10" s="5" t="s">
        <v>107</v>
      </c>
      <c r="C10" s="45">
        <v>4.1724138000000001E-2</v>
      </c>
      <c r="D10" s="53">
        <v>4.1724138000000001E-2</v>
      </c>
      <c r="E10" s="53">
        <v>7.1251816999999995E-2</v>
      </c>
      <c r="F10" s="53">
        <v>5.3818811999999987E-2</v>
      </c>
      <c r="G10" s="53">
        <v>2.8392065000000001E-2</v>
      </c>
    </row>
    <row r="11" spans="1:15" ht="15.75" customHeight="1" x14ac:dyDescent="0.25">
      <c r="B11" s="5" t="s">
        <v>119</v>
      </c>
      <c r="C11" s="45">
        <v>3.1606491E-2</v>
      </c>
      <c r="D11" s="53">
        <v>3.1606491E-2</v>
      </c>
      <c r="E11" s="53">
        <v>1.8677814000000001E-2</v>
      </c>
      <c r="F11" s="53">
        <v>2.1008806000000001E-2</v>
      </c>
      <c r="G11" s="53">
        <v>1.0058065999999999E-2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0.82913434649999995</v>
      </c>
      <c r="D14" s="54">
        <v>0.83222591652800004</v>
      </c>
      <c r="E14" s="54">
        <v>0.83222591652800004</v>
      </c>
      <c r="F14" s="54">
        <v>0.69540820231900002</v>
      </c>
      <c r="G14" s="54">
        <v>0.69540820231900002</v>
      </c>
      <c r="H14" s="45">
        <v>0.52300000000000002</v>
      </c>
      <c r="I14" s="55">
        <v>0.52300000000000002</v>
      </c>
      <c r="J14" s="55">
        <v>0.52300000000000002</v>
      </c>
      <c r="K14" s="55">
        <v>0.52300000000000002</v>
      </c>
      <c r="L14" s="45">
        <v>0.45400000000000001</v>
      </c>
      <c r="M14" s="55">
        <v>0.45400000000000001</v>
      </c>
      <c r="N14" s="55">
        <v>0.45400000000000001</v>
      </c>
      <c r="O14" s="55">
        <v>0.45400000000000001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0.36746156362229559</v>
      </c>
      <c r="D15" s="52">
        <f t="shared" si="0"/>
        <v>0.36883170726829484</v>
      </c>
      <c r="E15" s="52">
        <f t="shared" si="0"/>
        <v>0.36883170726829484</v>
      </c>
      <c r="F15" s="52">
        <f t="shared" si="0"/>
        <v>0.30819587496115075</v>
      </c>
      <c r="G15" s="52">
        <f t="shared" si="0"/>
        <v>0.30819587496115075</v>
      </c>
      <c r="H15" s="52">
        <f t="shared" si="0"/>
        <v>0.23178680100000007</v>
      </c>
      <c r="I15" s="52">
        <f t="shared" si="0"/>
        <v>0.23178680100000007</v>
      </c>
      <c r="J15" s="52">
        <f t="shared" si="0"/>
        <v>0.23178680100000007</v>
      </c>
      <c r="K15" s="52">
        <f t="shared" si="0"/>
        <v>0.23178680100000007</v>
      </c>
      <c r="L15" s="52">
        <f t="shared" si="0"/>
        <v>0.20120689800000005</v>
      </c>
      <c r="M15" s="52">
        <f t="shared" si="0"/>
        <v>0.20120689800000005</v>
      </c>
      <c r="N15" s="52">
        <f t="shared" si="0"/>
        <v>0.20120689800000005</v>
      </c>
      <c r="O15" s="52">
        <f t="shared" si="0"/>
        <v>0.20120689800000005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bLi9YtOcnbDoEIvCP6uQ7orNXPTJcW0iLpMEVxm7DMIjCcpgPYWWG1d7ewwonYexjOXV5Y53T48DCPMluFYC0g==" saltValue="Mt/kZPvH2jNnlEMsHZlnV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0.68534889219999995</v>
      </c>
      <c r="D2" s="53">
        <v>0.30438064999999997</v>
      </c>
      <c r="E2" s="53"/>
      <c r="F2" s="53"/>
      <c r="G2" s="53"/>
    </row>
    <row r="3" spans="1:7" x14ac:dyDescent="0.25">
      <c r="B3" s="3" t="s">
        <v>127</v>
      </c>
      <c r="C3" s="53">
        <v>0.17904148</v>
      </c>
      <c r="D3" s="53">
        <v>0.20097797000000001</v>
      </c>
      <c r="E3" s="53"/>
      <c r="F3" s="53"/>
      <c r="G3" s="53"/>
    </row>
    <row r="4" spans="1:7" x14ac:dyDescent="0.25">
      <c r="B4" s="3" t="s">
        <v>126</v>
      </c>
      <c r="C4" s="53">
        <v>0.11440976999999999</v>
      </c>
      <c r="D4" s="53">
        <v>0.46895798</v>
      </c>
      <c r="E4" s="53">
        <v>0.93621098995208696</v>
      </c>
      <c r="F4" s="53">
        <v>0.65972477197647095</v>
      </c>
      <c r="G4" s="53"/>
    </row>
    <row r="5" spans="1:7" x14ac:dyDescent="0.25">
      <c r="B5" s="3" t="s">
        <v>125</v>
      </c>
      <c r="C5" s="52">
        <v>2.1199853420000001E-2</v>
      </c>
      <c r="D5" s="52">
        <v>2.5683398E-2</v>
      </c>
      <c r="E5" s="52">
        <f>1-SUM(E2:E4)</f>
        <v>6.3789010047913042E-2</v>
      </c>
      <c r="F5" s="52">
        <f>1-SUM(F2:F4)</f>
        <v>0.34027522802352905</v>
      </c>
      <c r="G5" s="52">
        <f>1-SUM(G2:G4)</f>
        <v>1</v>
      </c>
    </row>
  </sheetData>
  <sheetProtection algorithmName="SHA-512" hashValue="LLl/mVKRZurfYIo2usZ0bvha6OeNJlysJJalLxpeU5794ahzbMrP3Iq4G/LyvBeCPMT1eaWGM2beG2w79sxbUw==" saltValue="/OUJJEg4B8J2uMlT2CVWZ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cxPmmQbOa1t0yneJ3sVd4RU4NjBqwdrIE5XQjsqMBOiMMpx7c7PjmNRpK0vzJyILGeTxz9X0P91k8daDWhWyAA==" saltValue="XBTESLcTWnYwJg7YOMMVo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mECpZ6Ars0udmwzpzp/N9+DUbgXARtKep+J2wQ8UT28lt6cpGqn4pPJ/yVXtVM2mdUBXm9PaxwmM7yfbRaYpGQ==" saltValue="+BU8AKPXMxCub6aeAXJs3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y9cQxp2FdU/Zep9VHETmRcIUtZ2vXWdFCkt8ylL7wCBQnRBjdUmmA+bz8HKD0OV15uc/npVkL7OHt3lP/3u9ZA==" saltValue="sTOCRgt+tU9m2L9ycbZpT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6cX3ZgzCOG8Mr0pLHnqgyVdwCWweDoY7Xd5CXERFdYBiUDZNkK1YWjaOXKcs3NQ0xdk+XbP4w916v0FSSJjNvg==" saltValue="ziOzgD8RyVMJOVUxP9mp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2024-03-18T00:41:03Z</dcterms:modified>
</cp:coreProperties>
</file>