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24F3BFAF-1D78-4C86-9B3C-749A5624D6B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H129" i="27" s="1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7" i="2"/>
  <c r="A16" i="2"/>
  <c r="A13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3" i="2" s="1"/>
  <c r="C33" i="1"/>
  <c r="C20" i="1"/>
  <c r="A24" i="2" l="1"/>
  <c r="A3" i="2"/>
  <c r="A4" i="2" s="1"/>
  <c r="A5" i="2" s="1"/>
  <c r="A6" i="2" s="1"/>
  <c r="A7" i="2" s="1"/>
  <c r="A8" i="2" s="1"/>
  <c r="A9" i="2" s="1"/>
  <c r="A10" i="2" s="1"/>
  <c r="A11" i="2" s="1"/>
  <c r="A29" i="2"/>
  <c r="A21" i="2"/>
  <c r="A25" i="2"/>
  <c r="I3" i="2"/>
  <c r="I7" i="2"/>
  <c r="I11" i="2"/>
  <c r="A32" i="2"/>
  <c r="A18" i="2"/>
  <c r="A26" i="2"/>
  <c r="A34" i="2"/>
  <c r="A39" i="2"/>
  <c r="A19" i="2"/>
  <c r="A27" i="2"/>
  <c r="A35" i="2"/>
  <c r="A12" i="2"/>
  <c r="A20" i="2"/>
  <c r="A28" i="2"/>
  <c r="A36" i="2"/>
  <c r="A14" i="2"/>
  <c r="A30" i="2"/>
  <c r="A38" i="2"/>
  <c r="A40" i="2"/>
  <c r="A22" i="2"/>
  <c r="A15" i="2"/>
  <c r="A23" i="2"/>
  <c r="A31" i="2"/>
  <c r="A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<sst xmlns="http://schemas.openxmlformats.org/spreadsheetml/2006/main" count="2092" uniqueCount="341">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</sst>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1486438.859375</v>
      </c>
    </row>
    <row r="8" spans="1:3" ht="15" customHeight="1" x14ac:dyDescent="0.25">
      <c r="B8" s="5" t="s">
        <v>44</v>
      </c>
      <c r="C8" s="44">
        <v>3.3000000000000002E-2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0.89274291992187504</v>
      </c>
    </row>
    <row r="11" spans="1:3" ht="15" customHeight="1" x14ac:dyDescent="0.25">
      <c r="B11" s="5" t="s">
        <v>49</v>
      </c>
      <c r="C11" s="45">
        <v>0.79500000000000004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0.193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0.151</v>
      </c>
    </row>
    <row r="24" spans="1:3" ht="15" customHeight="1" x14ac:dyDescent="0.25">
      <c r="B24" s="15" t="s">
        <v>46</v>
      </c>
      <c r="C24" s="45">
        <v>0.51359999999999995</v>
      </c>
    </row>
    <row r="25" spans="1:3" ht="15" customHeight="1" x14ac:dyDescent="0.25">
      <c r="B25" s="15" t="s">
        <v>47</v>
      </c>
      <c r="C25" s="45">
        <v>0.27929999999999999</v>
      </c>
    </row>
    <row r="26" spans="1:3" ht="15" customHeight="1" x14ac:dyDescent="0.25">
      <c r="B26" s="15" t="s">
        <v>48</v>
      </c>
      <c r="C26" s="45">
        <v>5.6099999999999997E-2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0.24516551947548301</v>
      </c>
    </row>
    <row r="30" spans="1:3" ht="14.25" customHeight="1" x14ac:dyDescent="0.25">
      <c r="B30" s="25" t="s">
        <v>63</v>
      </c>
      <c r="C30" s="99">
        <v>0.14159292038584101</v>
      </c>
    </row>
    <row r="31" spans="1:3" ht="14.25" customHeight="1" x14ac:dyDescent="0.25">
      <c r="B31" s="25" t="s">
        <v>10</v>
      </c>
      <c r="C31" s="99">
        <v>0.11897738448810199</v>
      </c>
    </row>
    <row r="32" spans="1:3" ht="14.25" customHeight="1" x14ac:dyDescent="0.25">
      <c r="B32" s="25" t="s">
        <v>11</v>
      </c>
      <c r="C32" s="99">
        <v>0.49426417565057301</v>
      </c>
    </row>
    <row r="33" spans="1:5" ht="13" customHeight="1" x14ac:dyDescent="0.25">
      <c r="B33" s="27" t="s">
        <v>60</v>
      </c>
      <c r="C33" s="48">
        <f>SUM(C29:C32)</f>
        <v>0.999999999999999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7.0572726399573904</v>
      </c>
    </row>
    <row r="38" spans="1:5" ht="15" customHeight="1" x14ac:dyDescent="0.25">
      <c r="B38" s="11" t="s">
        <v>35</v>
      </c>
      <c r="C38" s="43">
        <v>12.0379280801391</v>
      </c>
      <c r="D38" s="12"/>
      <c r="E38" s="13"/>
    </row>
    <row r="39" spans="1:5" ht="15" customHeight="1" x14ac:dyDescent="0.25">
      <c r="B39" s="11" t="s">
        <v>61</v>
      </c>
      <c r="C39" s="43">
        <v>13.985428218193</v>
      </c>
      <c r="D39" s="12"/>
      <c r="E39" s="12"/>
    </row>
    <row r="40" spans="1:5" ht="15" customHeight="1" x14ac:dyDescent="0.25">
      <c r="B40" s="11" t="s">
        <v>36</v>
      </c>
      <c r="C40" s="100">
        <v>0.59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8.7203079240000001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6.5564000000000004E-3</v>
      </c>
      <c r="D45" s="12"/>
    </row>
    <row r="46" spans="1:5" ht="15.75" customHeight="1" x14ac:dyDescent="0.25">
      <c r="B46" s="11" t="s">
        <v>51</v>
      </c>
      <c r="C46" s="45">
        <v>6.5862699999999996E-2</v>
      </c>
      <c r="D46" s="12"/>
    </row>
    <row r="47" spans="1:5" ht="15.75" customHeight="1" x14ac:dyDescent="0.25">
      <c r="B47" s="11" t="s">
        <v>59</v>
      </c>
      <c r="C47" s="45">
        <v>5.8788199999999999E-2</v>
      </c>
      <c r="D47" s="12"/>
      <c r="E47" s="13"/>
    </row>
    <row r="48" spans="1:5" ht="15" customHeight="1" x14ac:dyDescent="0.25">
      <c r="B48" s="11" t="s">
        <v>58</v>
      </c>
      <c r="C48" s="46">
        <v>0.86879270000000008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0.55768200000000001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0.11180640999999999</v>
      </c>
    </row>
    <row r="63" spans="1:4" ht="15.75" customHeight="1" x14ac:dyDescent="0.3">
      <c r="A63" s="4"/>
    </row>
  </sheetData>
  <sheetProtection algorithmName="SHA-512" hashValue="Ew5KffryhFRK3bTWqg9XiMnpz95/6KKKxsil7fxXraT6a4U4AoIKXL3sYZpe0QwLghc7Tuuo5G/3TmnpupoKWg==" saltValue="9kFA/flaTNF0bHLwevUe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69.98595024529601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40.148121577173832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601.85268684878201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1.780288519207611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13.28042102096974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13.28042102096974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13.28042102096974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13.28042102096974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13.28042102096974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13.28042102096974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0.98718682086509035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13.818442191631251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13.818442191631251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30.960439902477539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23.05841012764267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4.4469886479598264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18.844293755198361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0.39345160000000001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140.93703453269751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0.69989222611764845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0.41673149999999998</v>
      </c>
      <c r="C32" s="98">
        <v>0.95</v>
      </c>
      <c r="D32" s="56">
        <v>2.147228290957607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0.87988716035316306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3.4506874250287209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0.60740919999999998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DXW/bm28suaiULvpPP6w+V1G94g7tzFpjvvFrOslmWxrs/gQpqCSx2XSdmFgUzF3KDQZAi+34tiHVOD2nwIi3Q==" saltValue="z3QfNI+8Da0Kf0mEdHQF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VhKY0pcSHf+sNeqrxGHzMrzE6Wimnv9R/ChZl5aeapacRNIPASpLH1asHxqoY2PBq/Frz7bsRGi+s4drdZjvBA==" saltValue="5k9Pkvhq8hAn+GAsDcYK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XYF5QW1G4BzY7RyZ7Z0D/GCIXzGxDZ4cvjZwUb2HT6iQnRw0x5ylZ+hn9YUwM0Op8Om9dc117Du87esN4lG/bQ==" saltValue="UKMvD8LET7C5kQBu4naQt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0.14481296911835675</v>
      </c>
      <c r="C3" s="21">
        <f>frac_mam_1_5months * 2.6</f>
        <v>0.14481296911835675</v>
      </c>
      <c r="D3" s="21">
        <f>frac_mam_6_11months * 2.6</f>
        <v>5.9418061748146921E-2</v>
      </c>
      <c r="E3" s="21">
        <f>frac_mam_12_23months * 2.6</f>
        <v>5.2853396162390723E-2</v>
      </c>
      <c r="F3" s="21">
        <f>frac_mam_24_59months * 2.6</f>
        <v>2.4380219168960982E-2</v>
      </c>
    </row>
    <row r="4" spans="1:6" ht="15.75" customHeight="1" x14ac:dyDescent="0.25">
      <c r="A4" s="3" t="s">
        <v>207</v>
      </c>
      <c r="B4" s="21">
        <f>frac_sam_1month * 2.6</f>
        <v>4.0168653242290041E-2</v>
      </c>
      <c r="C4" s="21">
        <f>frac_sam_1_5months * 2.6</f>
        <v>4.0168653242290041E-2</v>
      </c>
      <c r="D4" s="21">
        <f>frac_sam_6_11months * 2.6</f>
        <v>4.6466013789177057E-2</v>
      </c>
      <c r="E4" s="21">
        <f>frac_sam_12_23months * 2.6</f>
        <v>2.5661157816648381E-2</v>
      </c>
      <c r="F4" s="21">
        <f>frac_sam_24_59months * 2.6</f>
        <v>9.1003568377345002E-3</v>
      </c>
    </row>
  </sheetData>
  <sheetProtection algorithmName="SHA-512" hashValue="r15WZ0U7MBWnpTy5ECaZ8512I8uImc2Ow/YKEG8G2Q+FwZ04+boTG7i2UKP9btF0Qzs1jsh6MhlcchKdchSrNQ==" saltValue="4FbeHl8f/UxCckJ71UZy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3.3000000000000002E-2</v>
      </c>
      <c r="E2" s="60">
        <f>food_insecure</f>
        <v>3.3000000000000002E-2</v>
      </c>
      <c r="F2" s="60">
        <f>food_insecure</f>
        <v>3.3000000000000002E-2</v>
      </c>
      <c r="G2" s="60">
        <f>food_insecure</f>
        <v>3.3000000000000002E-2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3.3000000000000002E-2</v>
      </c>
      <c r="F5" s="60">
        <f>food_insecure</f>
        <v>3.3000000000000002E-2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3.3000000000000002E-2</v>
      </c>
      <c r="F8" s="60">
        <f>food_insecure</f>
        <v>3.3000000000000002E-2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3.3000000000000002E-2</v>
      </c>
      <c r="F9" s="60">
        <f>food_insecure</f>
        <v>3.3000000000000002E-2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3.3000000000000002E-2</v>
      </c>
      <c r="I15" s="60">
        <f>food_insecure</f>
        <v>3.3000000000000002E-2</v>
      </c>
      <c r="J15" s="60">
        <f>food_insecure</f>
        <v>3.3000000000000002E-2</v>
      </c>
      <c r="K15" s="60">
        <f>food_insecure</f>
        <v>3.3000000000000002E-2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0.79500000000000004</v>
      </c>
      <c r="I18" s="60">
        <f>frac_PW_health_facility</f>
        <v>0.79500000000000004</v>
      </c>
      <c r="J18" s="60">
        <f>frac_PW_health_facility</f>
        <v>0.79500000000000004</v>
      </c>
      <c r="K18" s="60">
        <f>frac_PW_health_facility</f>
        <v>0.79500000000000004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0.193</v>
      </c>
      <c r="M24" s="60">
        <f>famplan_unmet_need</f>
        <v>0.193</v>
      </c>
      <c r="N24" s="60">
        <f>famplan_unmet_need</f>
        <v>0.193</v>
      </c>
      <c r="O24" s="60">
        <f>famplan_unmet_need</f>
        <v>0.193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5.3299260803222628E-2</v>
      </c>
      <c r="M25" s="60">
        <f>(1-food_insecure)*(0.49)+food_insecure*(0.7)</f>
        <v>0.49692999999999998</v>
      </c>
      <c r="N25" s="60">
        <f>(1-food_insecure)*(0.49)+food_insecure*(0.7)</f>
        <v>0.49692999999999998</v>
      </c>
      <c r="O25" s="60">
        <f>(1-food_insecure)*(0.49)+food_insecure*(0.7)</f>
        <v>0.49692999999999998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2.2842540344238268E-2</v>
      </c>
      <c r="M26" s="60">
        <f>(1-food_insecure)*(0.21)+food_insecure*(0.3)</f>
        <v>0.21296999999999996</v>
      </c>
      <c r="N26" s="60">
        <f>(1-food_insecure)*(0.21)+food_insecure*(0.3)</f>
        <v>0.21296999999999996</v>
      </c>
      <c r="O26" s="60">
        <f>(1-food_insecure)*(0.21)+food_insecure*(0.3)</f>
        <v>0.21296999999999996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3.1115278930664046E-2</v>
      </c>
      <c r="M27" s="60">
        <f>(1-food_insecure)*(0.3)</f>
        <v>0.29009999999999997</v>
      </c>
      <c r="N27" s="60">
        <f>(1-food_insecure)*(0.3)</f>
        <v>0.29009999999999997</v>
      </c>
      <c r="O27" s="60">
        <f>(1-food_insecure)*(0.3)</f>
        <v>0.29009999999999997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0.89274291992187504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vsFmDGEnnOCFDJBsDxfB702Nq3dgfvoGgiiWz5kya5BzhYwk3+WhdrDXRWCCtMIrH5rW9aBxZorSE7GKqNlu3g==" saltValue="H0FPNuNM7rstqayYcA90i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roBA/V365AN/zvhs5vfxipLeIRExEnrqB8X2nUbKgz66bTO+av5YqSvf4653hR8Xb19Qs2pWJEwc2BmKjhO/Pw==" saltValue="KTIIMSNFPLWIRXEV8tglC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6IpHuRPpMSyZ3oOZc4cBDBXB7sSLNSO6LPX40fg9G0FdCg9N3b/H8azbfSCsovlFVBV53aCLnIBxnCyjB5ccg==" saltValue="ZQWLA4Ivm6lDq9dmAyAio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3ilFDam6e/qR9M+I2fOrc5lFMEqVgYZIFvZy+6YOejTIX4egxeBRPlpxZ+QWBjqzQT5SULcB0SJnVVgctdatw==" saltValue="MRgX82wy6Sz70khSOf/PH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mYfjMeA9iDDdLHg9iWY9gPX5ex6U8eAv+OWmJH0pz90cLRbl69UM2qz/r3SZ+ODqjwdREGA8kq8/4jyT5Tdhbw==" saltValue="PDNey6pp/Jo1zGO/sR/Ot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D25FW3OMT9KKM/NfsOPH82TCHZPOyYy3aJpGhqVczPrGhQKGo6Z9UCt0584ZPXO87EHtUw6+GxsriMVMhXiDA==" saltValue="Ipb331DMOeUFzNLCvcIU5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328266.22360000003</v>
      </c>
      <c r="C2" s="49">
        <v>740000</v>
      </c>
      <c r="D2" s="49">
        <v>1445000</v>
      </c>
      <c r="E2" s="49">
        <v>1291000</v>
      </c>
      <c r="F2" s="49">
        <v>1059000</v>
      </c>
      <c r="G2" s="17">
        <f t="shared" ref="G2:G11" si="0">C2+D2+E2+F2</f>
        <v>4535000</v>
      </c>
      <c r="H2" s="17">
        <f t="shared" ref="H2:H11" si="1">(B2 + stillbirth*B2/(1000-stillbirth))/(1-abortion)</f>
        <v>376311.35039620573</v>
      </c>
      <c r="I2" s="17">
        <f t="shared" ref="I2:I11" si="2">G2-H2</f>
        <v>4158688.6496037943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327534.24</v>
      </c>
      <c r="C3" s="50">
        <v>745000</v>
      </c>
      <c r="D3" s="50">
        <v>1450000</v>
      </c>
      <c r="E3" s="50">
        <v>1312000</v>
      </c>
      <c r="F3" s="50">
        <v>1078000</v>
      </c>
      <c r="G3" s="17">
        <f t="shared" si="0"/>
        <v>4585000</v>
      </c>
      <c r="H3" s="17">
        <f t="shared" si="1"/>
        <v>375472.23349297076</v>
      </c>
      <c r="I3" s="17">
        <f t="shared" si="2"/>
        <v>4209527.7665070295</v>
      </c>
    </row>
    <row r="4" spans="1:9" ht="15.75" customHeight="1" x14ac:dyDescent="0.25">
      <c r="A4" s="5">
        <f t="shared" si="3"/>
        <v>2023</v>
      </c>
      <c r="B4" s="49">
        <v>326616.88160000002</v>
      </c>
      <c r="C4" s="50">
        <v>752000</v>
      </c>
      <c r="D4" s="50">
        <v>1454000</v>
      </c>
      <c r="E4" s="50">
        <v>1330000</v>
      </c>
      <c r="F4" s="50">
        <v>1097000</v>
      </c>
      <c r="G4" s="17">
        <f t="shared" si="0"/>
        <v>4633000</v>
      </c>
      <c r="H4" s="17">
        <f t="shared" si="1"/>
        <v>374420.61028752651</v>
      </c>
      <c r="I4" s="17">
        <f t="shared" si="2"/>
        <v>4258579.3897124734</v>
      </c>
    </row>
    <row r="5" spans="1:9" ht="15.75" customHeight="1" x14ac:dyDescent="0.25">
      <c r="A5" s="5">
        <f t="shared" si="3"/>
        <v>2024</v>
      </c>
      <c r="B5" s="49">
        <v>325552.36800000002</v>
      </c>
      <c r="C5" s="50">
        <v>758000</v>
      </c>
      <c r="D5" s="50">
        <v>1457000</v>
      </c>
      <c r="E5" s="50">
        <v>1347000</v>
      </c>
      <c r="F5" s="50">
        <v>1116000</v>
      </c>
      <c r="G5" s="17">
        <f t="shared" si="0"/>
        <v>4678000</v>
      </c>
      <c r="H5" s="17">
        <f t="shared" si="1"/>
        <v>373200.2942101123</v>
      </c>
      <c r="I5" s="17">
        <f t="shared" si="2"/>
        <v>4304799.7057898873</v>
      </c>
    </row>
    <row r="6" spans="1:9" ht="15.75" customHeight="1" x14ac:dyDescent="0.25">
      <c r="A6" s="5">
        <f t="shared" si="3"/>
        <v>2025</v>
      </c>
      <c r="B6" s="49">
        <v>324288.90000000002</v>
      </c>
      <c r="C6" s="50">
        <v>764000</v>
      </c>
      <c r="D6" s="50">
        <v>1461000</v>
      </c>
      <c r="E6" s="50">
        <v>1363000</v>
      </c>
      <c r="F6" s="50">
        <v>1137000</v>
      </c>
      <c r="G6" s="17">
        <f t="shared" si="0"/>
        <v>4725000</v>
      </c>
      <c r="H6" s="17">
        <f t="shared" si="1"/>
        <v>371751.90471682791</v>
      </c>
      <c r="I6" s="17">
        <f t="shared" si="2"/>
        <v>4353248.0952831721</v>
      </c>
    </row>
    <row r="7" spans="1:9" ht="15.75" customHeight="1" x14ac:dyDescent="0.25">
      <c r="A7" s="5">
        <f t="shared" si="3"/>
        <v>2026</v>
      </c>
      <c r="B7" s="49">
        <v>323500.17959999997</v>
      </c>
      <c r="C7" s="50">
        <v>769000</v>
      </c>
      <c r="D7" s="50">
        <v>1466000</v>
      </c>
      <c r="E7" s="50">
        <v>1377000</v>
      </c>
      <c r="F7" s="50">
        <v>1159000</v>
      </c>
      <c r="G7" s="17">
        <f t="shared" si="0"/>
        <v>4771000</v>
      </c>
      <c r="H7" s="17">
        <f t="shared" si="1"/>
        <v>370847.74700131861</v>
      </c>
      <c r="I7" s="17">
        <f t="shared" si="2"/>
        <v>4400152.2529986817</v>
      </c>
    </row>
    <row r="8" spans="1:9" ht="15.75" customHeight="1" x14ac:dyDescent="0.25">
      <c r="A8" s="5">
        <f t="shared" si="3"/>
        <v>2027</v>
      </c>
      <c r="B8" s="49">
        <v>322567.0344</v>
      </c>
      <c r="C8" s="50">
        <v>773000</v>
      </c>
      <c r="D8" s="50">
        <v>1471000</v>
      </c>
      <c r="E8" s="50">
        <v>1390000</v>
      </c>
      <c r="F8" s="50">
        <v>1181000</v>
      </c>
      <c r="G8" s="17">
        <f t="shared" si="0"/>
        <v>4815000</v>
      </c>
      <c r="H8" s="17">
        <f t="shared" si="1"/>
        <v>369778.026435868</v>
      </c>
      <c r="I8" s="17">
        <f t="shared" si="2"/>
        <v>4445221.9735641321</v>
      </c>
    </row>
    <row r="9" spans="1:9" ht="15.75" customHeight="1" x14ac:dyDescent="0.25">
      <c r="A9" s="5">
        <f t="shared" si="3"/>
        <v>2028</v>
      </c>
      <c r="B9" s="49">
        <v>321457.35960000003</v>
      </c>
      <c r="C9" s="50">
        <v>776000</v>
      </c>
      <c r="D9" s="50">
        <v>1477000</v>
      </c>
      <c r="E9" s="50">
        <v>1401000</v>
      </c>
      <c r="F9" s="50">
        <v>1204000</v>
      </c>
      <c r="G9" s="17">
        <f t="shared" si="0"/>
        <v>4858000</v>
      </c>
      <c r="H9" s="17">
        <f t="shared" si="1"/>
        <v>368505.93935389799</v>
      </c>
      <c r="I9" s="17">
        <f t="shared" si="2"/>
        <v>4489494.0606461018</v>
      </c>
    </row>
    <row r="10" spans="1:9" ht="15.75" customHeight="1" x14ac:dyDescent="0.25">
      <c r="A10" s="5">
        <f t="shared" si="3"/>
        <v>2029</v>
      </c>
      <c r="B10" s="49">
        <v>320190.70199999987</v>
      </c>
      <c r="C10" s="50">
        <v>779000</v>
      </c>
      <c r="D10" s="50">
        <v>1482000</v>
      </c>
      <c r="E10" s="50">
        <v>1411000</v>
      </c>
      <c r="F10" s="50">
        <v>1226000</v>
      </c>
      <c r="G10" s="17">
        <f t="shared" si="0"/>
        <v>4898000</v>
      </c>
      <c r="H10" s="17">
        <f t="shared" si="1"/>
        <v>367053.89342995762</v>
      </c>
      <c r="I10" s="17">
        <f t="shared" si="2"/>
        <v>4530946.1065700427</v>
      </c>
    </row>
    <row r="11" spans="1:9" ht="15.75" customHeight="1" x14ac:dyDescent="0.25">
      <c r="A11" s="5">
        <f t="shared" si="3"/>
        <v>2030</v>
      </c>
      <c r="B11" s="49">
        <v>318785.61</v>
      </c>
      <c r="C11" s="50">
        <v>781000</v>
      </c>
      <c r="D11" s="50">
        <v>1490000</v>
      </c>
      <c r="E11" s="50">
        <v>1419000</v>
      </c>
      <c r="F11" s="50">
        <v>1248000</v>
      </c>
      <c r="G11" s="17">
        <f t="shared" si="0"/>
        <v>4938000</v>
      </c>
      <c r="H11" s="17">
        <f t="shared" si="1"/>
        <v>365443.15181252226</v>
      </c>
      <c r="I11" s="17">
        <f t="shared" si="2"/>
        <v>4572556.8481874773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0Tiw3+/0kJAVkSMclvfffkpDBAbIBwg9aZYAOc6FEmvGhIYJ9DLZO+jz3QDl/uH4W4rjx4ZC2cuHHzqWyzeSQ==" saltValue="ABYyTXfCGYbXdef4aRLOB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3.0797732690604165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3.0797732690604165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2.6004624879315119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2.6004624879315119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2.032768084473954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2.032768084473954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1.8623143895952026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1.8623143895952026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5.5057884459763855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5.5057884459763855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3.9346162357567005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3.9346162357567005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4ay1kt6iqrbUwx65xIdAkIbm92q1qubQEl7cQfjjVUgSNyrab68OavD+TX2gNJbhaZ3is1OtFLV18RbCnS1B5g==" saltValue="FZJBc/Qq7G19hF+Umf39D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W/4gp/+ZjQwIcDRF9U7+wEoPb9lxKjiL5Kj9SR1QIELuV7fgUDXPd70MPl4gI5YAROd6gd8QdsVRiZh2N9Aocg==" saltValue="cHUtVei/cSvZWzhl2uQK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THBZmv+6vyByG2ufIAa05qKszdodLk5luWI0GgLyC7Ql+RVn6GQDHEY3HEeGhRUoKY147u0TcmCmTMzDH3QTzg==" saltValue="rh2bTYqTrOLGvf/M4rtP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0.59337630039146227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0.5489120927913278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0.85754000424691956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0.83387487468028498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0.85754000424691956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0.83387487468028498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0.39207803922408829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0.349724564907825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0.82305404095881707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0.79502947156370063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0.82305404095881707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0.79502947156370063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0.90421174380578084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0.88728052250448819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0.892468881461983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0.87375183428723491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0.892468881461983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0.87375183428723491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iaQEqHEPFQfJl99FG+BBOMyL12kzr1njhAxQNtC2UOgq1Cjiilef+MxkQ0ppw84OplxBOI0/7k9u8d8FPNTYoA==" saltValue="AFjefaLDuiai/vDCcsm0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WaXJI80XwGbm7e5LXDdArOyJqyg3Na/uTZ4j7JywRDKKe7yxmX3G6WQqhlYexQ4QF3J1CV3Y5KhG/w4Rqk4Yw==" saltValue="jep5NXAp99qPbi6NQHIY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0.68079829495178446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0.69307851473863213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0.69307851473863213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0.65428684314500196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0.65428684314500196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0.65428684314500196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0.65428684314500196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0.67724087052748061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0.67724087052748061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0.67724087052748061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0.67724087052748061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0.768395894879493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0.77840301851529126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0.77840301851529126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0.74645030425963499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0.74645030425963499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0.74645030425963499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0.74645030425963499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0.76547842401500954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0.76547842401500954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0.76547842401500954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0.76547842401500954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0.49333137215814649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0.50760750396770082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0.50760750396770082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0.46351931330472107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0.46351931330472107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0.46351931330472107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0.46351931330472107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0.48925208740451243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0.48925208740451243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0.48925208740451243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0.48925208740451243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0.65932308545634422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0.67203148400266288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0.67203148400266288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0.63199214916584878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0.63199214916584878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0.63199214916584878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0.63199214916584878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0.65564738292011027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0.65564738292011027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0.65564738292011027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0.65564738292011027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0.9640522828353012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0.96597979825592251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0.96597979825592251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0.95967308312721811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0.95967308312721811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0.95967308312721811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0.95967308312721811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0.96348232544551571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0.96348232544551571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0.96348232544551571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0.96348232544551571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0.90510915271742787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0.90990182087636218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0.90990182087636218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0.89433643279797115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0.89433643279797115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0.89433643279797115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0.89433643279797115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0.90369799691833608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0.90369799691833608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0.90369799691833608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0.90369799691833608</v>
      </c>
    </row>
  </sheetData>
  <sheetProtection algorithmName="SHA-512" hashValue="aIDw8dhLIz8u3q1nmzxBUXOwglszVlPiVpNMsszLrOnjEAbDWFUkb/domkifbbZTqrdfdHfFOqPF0ue+6uOGCQ==" saltValue="bRHetwLEakmYb7DEa1Z4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0.74896362255734683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0.74850023377519459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0.75002468012330148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0.75122500253057312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0.74103484288610022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0.74754176430381014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0.74802846989523697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0.75011793536664129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0.6457972408063154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0.64523362151988173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0.64708888415611399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0.64855187228467448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0.63619280725058525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0.64406874493213839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0.64466010989408884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0.64720247729123215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0.86020713154552642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0.85991067893759887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0.86088533040748527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0.86165151838506149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0.85511219034997521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0.85929698256698095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0.85960870128355016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0.86094489591707413</v>
      </c>
    </row>
  </sheetData>
  <sheetProtection algorithmName="SHA-512" hashValue="TnjHJNVvIxhcj273MQm4+1XwsvgOjI2orGDKGRbu7wP1Cm36xTkw0FnUakDlvdral44XcXtGcq09e96wQZCFCQ==" saltValue="X4lzk5afbhP6SZAmOq4Ui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c3x4117aE8mLIi8TjiVNZpMfnLr+5KwmwYWNz17aqRMo3EAE/BBY6TxrXBYUMKrwK7NQMwlL0s3JSfgQQtS51Q==" saltValue="N7T6EaHtQA7LL1OfcSp5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ltIG9hlNqzWnbwwd3V6ZMCITxt4cBCL/22UCiNYnA52qJmAS2XljSC8zR4awZJV1sifygHM21hir5oR1tcolJg==" saltValue="/mIaj1CTj5X3sBQk4fjwZ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8.9682898450987814E-2</v>
      </c>
    </row>
    <row r="5" spans="1:8" ht="15.75" customHeight="1" x14ac:dyDescent="0.25">
      <c r="B5" s="19" t="s">
        <v>95</v>
      </c>
      <c r="C5" s="101">
        <v>2.9863112064115072E-2</v>
      </c>
    </row>
    <row r="6" spans="1:8" ht="15.75" customHeight="1" x14ac:dyDescent="0.25">
      <c r="B6" s="19" t="s">
        <v>91</v>
      </c>
      <c r="C6" s="101">
        <v>0.11086759616279079</v>
      </c>
    </row>
    <row r="7" spans="1:8" ht="15.75" customHeight="1" x14ac:dyDescent="0.25">
      <c r="B7" s="19" t="s">
        <v>96</v>
      </c>
      <c r="C7" s="101">
        <v>0.42426452394349901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0.25086647394182487</v>
      </c>
    </row>
    <row r="10" spans="1:8" ht="15.75" customHeight="1" x14ac:dyDescent="0.25">
      <c r="B10" s="19" t="s">
        <v>94</v>
      </c>
      <c r="C10" s="101">
        <v>9.4455395436782455E-2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3.1865710827103412E-2</v>
      </c>
      <c r="D14" s="55">
        <v>3.1865710827103412E-2</v>
      </c>
      <c r="E14" s="55">
        <v>3.1865710827103412E-2</v>
      </c>
      <c r="F14" s="55">
        <v>3.1865710827103412E-2</v>
      </c>
    </row>
    <row r="15" spans="1:8" ht="15.75" customHeight="1" x14ac:dyDescent="0.25">
      <c r="B15" s="19" t="s">
        <v>102</v>
      </c>
      <c r="C15" s="101">
        <v>0.22329034015462371</v>
      </c>
      <c r="D15" s="101">
        <v>0.22329034015462371</v>
      </c>
      <c r="E15" s="101">
        <v>0.22329034015462371</v>
      </c>
      <c r="F15" s="101">
        <v>0.22329034015462371</v>
      </c>
    </row>
    <row r="16" spans="1:8" ht="15.75" customHeight="1" x14ac:dyDescent="0.25">
      <c r="B16" s="19" t="s">
        <v>2</v>
      </c>
      <c r="C16" s="101">
        <v>1.5933588788151171E-2</v>
      </c>
      <c r="D16" s="101">
        <v>1.5933588788151171E-2</v>
      </c>
      <c r="E16" s="101">
        <v>1.5933588788151171E-2</v>
      </c>
      <c r="F16" s="101">
        <v>1.5933588788151171E-2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5.88961316434467E-3</v>
      </c>
      <c r="D19" s="101">
        <v>5.88961316434467E-3</v>
      </c>
      <c r="E19" s="101">
        <v>5.88961316434467E-3</v>
      </c>
      <c r="F19" s="101">
        <v>5.88961316434467E-3</v>
      </c>
    </row>
    <row r="20" spans="1:8" ht="15.75" customHeight="1" x14ac:dyDescent="0.25">
      <c r="B20" s="19" t="s">
        <v>79</v>
      </c>
      <c r="C20" s="101">
        <v>1.9241201117395149E-2</v>
      </c>
      <c r="D20" s="101">
        <v>1.9241201117395149E-2</v>
      </c>
      <c r="E20" s="101">
        <v>1.9241201117395149E-2</v>
      </c>
      <c r="F20" s="101">
        <v>1.9241201117395149E-2</v>
      </c>
    </row>
    <row r="21" spans="1:8" ht="15.75" customHeight="1" x14ac:dyDescent="0.25">
      <c r="B21" s="19" t="s">
        <v>88</v>
      </c>
      <c r="C21" s="101">
        <v>0.17691059359710989</v>
      </c>
      <c r="D21" s="101">
        <v>0.17691059359710989</v>
      </c>
      <c r="E21" s="101">
        <v>0.17691059359710989</v>
      </c>
      <c r="F21" s="101">
        <v>0.17691059359710989</v>
      </c>
    </row>
    <row r="22" spans="1:8" ht="15.75" customHeight="1" x14ac:dyDescent="0.25">
      <c r="B22" s="19" t="s">
        <v>99</v>
      </c>
      <c r="C22" s="101">
        <v>0.52686895235127207</v>
      </c>
      <c r="D22" s="101">
        <v>0.52686895235127207</v>
      </c>
      <c r="E22" s="101">
        <v>0.52686895235127207</v>
      </c>
      <c r="F22" s="101">
        <v>0.52686895235127207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6.7922542000000002E-2</v>
      </c>
    </row>
    <row r="27" spans="1:8" ht="15.75" customHeight="1" x14ac:dyDescent="0.25">
      <c r="B27" s="19" t="s">
        <v>89</v>
      </c>
      <c r="C27" s="101">
        <v>3.9153998000000002E-2</v>
      </c>
    </row>
    <row r="28" spans="1:8" ht="15.75" customHeight="1" x14ac:dyDescent="0.25">
      <c r="B28" s="19" t="s">
        <v>103</v>
      </c>
      <c r="C28" s="101">
        <v>0.14092202700000001</v>
      </c>
    </row>
    <row r="29" spans="1:8" ht="15.75" customHeight="1" x14ac:dyDescent="0.25">
      <c r="B29" s="19" t="s">
        <v>86</v>
      </c>
      <c r="C29" s="101">
        <v>0.29517143400000001</v>
      </c>
    </row>
    <row r="30" spans="1:8" ht="15.75" customHeight="1" x14ac:dyDescent="0.25">
      <c r="B30" s="19" t="s">
        <v>4</v>
      </c>
      <c r="C30" s="101">
        <v>4.8052300999999999E-2</v>
      </c>
    </row>
    <row r="31" spans="1:8" ht="15.75" customHeight="1" x14ac:dyDescent="0.25">
      <c r="B31" s="19" t="s">
        <v>80</v>
      </c>
      <c r="C31" s="101">
        <v>8.049626E-2</v>
      </c>
    </row>
    <row r="32" spans="1:8" ht="15.75" customHeight="1" x14ac:dyDescent="0.25">
      <c r="B32" s="19" t="s">
        <v>85</v>
      </c>
      <c r="C32" s="101">
        <v>1.1478149E-2</v>
      </c>
    </row>
    <row r="33" spans="2:3" ht="15.75" customHeight="1" x14ac:dyDescent="0.25">
      <c r="B33" s="19" t="s">
        <v>100</v>
      </c>
      <c r="C33" s="101">
        <v>0.18240295500000001</v>
      </c>
    </row>
    <row r="34" spans="2:3" ht="15.75" customHeight="1" x14ac:dyDescent="0.25">
      <c r="B34" s="19" t="s">
        <v>87</v>
      </c>
      <c r="C34" s="101">
        <v>0.13440033400000001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XJuyGCIcLpBOokqx/YbewAJ4cePMDlqpdv3P0hdjheGCdTsZx5QFePO4H6sCmxdhCI8ZGMpTiq6vpqGA5xAn/Q==" saltValue="gUMqcxGg2sfHSbCbZRga0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0.61154243775152251</v>
      </c>
      <c r="D2" s="52">
        <f>IFERROR(1-_xlfn.NORM.DIST(_xlfn.NORM.INV(SUM(D4:D5), 0, 1) + 1, 0, 1, TRUE), "")</f>
        <v>0.61154243775152251</v>
      </c>
      <c r="E2" s="52">
        <f>IFERROR(1-_xlfn.NORM.DIST(_xlfn.NORM.INV(SUM(E4:E5), 0, 1) + 1, 0, 1, TRUE), "")</f>
        <v>0.4675547764677126</v>
      </c>
      <c r="F2" s="52">
        <f>IFERROR(1-_xlfn.NORM.DIST(_xlfn.NORM.INV(SUM(F4:F5), 0, 1) + 1, 0, 1, TRUE), "")</f>
        <v>0.30162886057613147</v>
      </c>
      <c r="G2" s="52">
        <f>IFERROR(1-_xlfn.NORM.DIST(_xlfn.NORM.INV(SUM(G4:G5), 0, 1) + 1, 0, 1, TRUE), "")</f>
        <v>0.3670320920729564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0.28877131960845909</v>
      </c>
      <c r="D3" s="52">
        <f>IFERROR(_xlfn.NORM.DIST(_xlfn.NORM.INV(SUM(D4:D5), 0, 1) + 1, 0, 1, TRUE) - SUM(D4:D5), "")</f>
        <v>0.28877131960845909</v>
      </c>
      <c r="E3" s="52">
        <f>IFERROR(_xlfn.NORM.DIST(_xlfn.NORM.INV(SUM(E4:E5), 0, 1) + 1, 0, 1, TRUE) - SUM(E4:E5), "")</f>
        <v>0.35328810428795043</v>
      </c>
      <c r="F3" s="52">
        <f>IFERROR(_xlfn.NORM.DIST(_xlfn.NORM.INV(SUM(F4:F5), 0, 1) + 1, 0, 1, TRUE) - SUM(F4:F5), "")</f>
        <v>0.38285646315099942</v>
      </c>
      <c r="G3" s="52">
        <f>IFERROR(_xlfn.NORM.DIST(_xlfn.NORM.INV(SUM(G4:G5), 0, 1) + 1, 0, 1, TRUE) - SUM(G4:G5), "")</f>
        <v>0.37842945753694301</v>
      </c>
    </row>
    <row r="4" spans="1:15" ht="15.75" customHeight="1" x14ac:dyDescent="0.25">
      <c r="B4" s="5" t="s">
        <v>110</v>
      </c>
      <c r="C4" s="45">
        <v>7.2534196078777299E-2</v>
      </c>
      <c r="D4" s="53">
        <v>7.2534196078777299E-2</v>
      </c>
      <c r="E4" s="53">
        <v>0.13401260972022999</v>
      </c>
      <c r="F4" s="53">
        <v>0.22052048146724701</v>
      </c>
      <c r="G4" s="53">
        <v>0.19942629337310799</v>
      </c>
    </row>
    <row r="5" spans="1:15" ht="15.75" customHeight="1" x14ac:dyDescent="0.25">
      <c r="B5" s="5" t="s">
        <v>106</v>
      </c>
      <c r="C5" s="45">
        <v>2.7152046561241101E-2</v>
      </c>
      <c r="D5" s="53">
        <v>2.7152046561241101E-2</v>
      </c>
      <c r="E5" s="53">
        <v>4.5144509524107E-2</v>
      </c>
      <c r="F5" s="53">
        <v>9.4994194805622101E-2</v>
      </c>
      <c r="G5" s="53">
        <v>5.5112157016992597E-2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0.67985856625799368</v>
      </c>
      <c r="D8" s="52">
        <f>IFERROR(1-_xlfn.NORM.DIST(_xlfn.NORM.INV(SUM(D10:D11), 0, 1) + 1, 0, 1, TRUE), "")</f>
        <v>0.67985856625799368</v>
      </c>
      <c r="E8" s="52">
        <f>IFERROR(1-_xlfn.NORM.DIST(_xlfn.NORM.INV(SUM(E10:E11), 0, 1) + 1, 0, 1, TRUE), "")</f>
        <v>0.77105876321792199</v>
      </c>
      <c r="F8" s="52">
        <f>IFERROR(1-_xlfn.NORM.DIST(_xlfn.NORM.INV(SUM(F10:F11), 0, 1) + 1, 0, 1, TRUE), "")</f>
        <v>0.80999909281175575</v>
      </c>
      <c r="G8" s="52">
        <f>IFERROR(1-_xlfn.NORM.DIST(_xlfn.NORM.INV(SUM(G10:G11), 0, 1) + 1, 0, 1, TRUE), "")</f>
        <v>0.89063213959980914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0.24899465591098827</v>
      </c>
      <c r="D9" s="52">
        <f>IFERROR(_xlfn.NORM.DIST(_xlfn.NORM.INV(SUM(D10:D11), 0, 1) + 1, 0, 1, TRUE) - SUM(D10:D11), "")</f>
        <v>0.24899465591098827</v>
      </c>
      <c r="E9" s="52">
        <f>IFERROR(_xlfn.NORM.DIST(_xlfn.NORM.INV(SUM(E10:E11), 0, 1) + 1, 0, 1, TRUE) - SUM(E10:E11), "")</f>
        <v>0.18821659234464566</v>
      </c>
      <c r="F9" s="52">
        <f>IFERROR(_xlfn.NORM.DIST(_xlfn.NORM.INV(SUM(F10:F11), 0, 1) + 1, 0, 1, TRUE) - SUM(F10:F11), "")</f>
        <v>0.1598030018116908</v>
      </c>
      <c r="G9" s="52">
        <f>IFERROR(_xlfn.NORM.DIST(_xlfn.NORM.INV(SUM(G10:G11), 0, 1) + 1, 0, 1, TRUE) - SUM(G10:G11), "")</f>
        <v>9.6490715782231118E-2</v>
      </c>
    </row>
    <row r="10" spans="1:15" ht="15.75" customHeight="1" x14ac:dyDescent="0.25">
      <c r="B10" s="5" t="s">
        <v>107</v>
      </c>
      <c r="C10" s="45">
        <v>5.56972958147526E-2</v>
      </c>
      <c r="D10" s="53">
        <v>5.56972958147526E-2</v>
      </c>
      <c r="E10" s="53">
        <v>2.28531006723642E-2</v>
      </c>
      <c r="F10" s="53">
        <v>2.0328229293227199E-2</v>
      </c>
      <c r="G10" s="53">
        <v>9.3770073726773002E-3</v>
      </c>
    </row>
    <row r="11" spans="1:15" ht="15.75" customHeight="1" x14ac:dyDescent="0.25">
      <c r="B11" s="5" t="s">
        <v>119</v>
      </c>
      <c r="C11" s="45">
        <v>1.5449482016265399E-2</v>
      </c>
      <c r="D11" s="53">
        <v>1.5449482016265399E-2</v>
      </c>
      <c r="E11" s="53">
        <v>1.7871543765068099E-2</v>
      </c>
      <c r="F11" s="53">
        <v>9.8696760833262998E-3</v>
      </c>
      <c r="G11" s="53">
        <v>3.5001372452825E-3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0.18063501800000001</v>
      </c>
      <c r="D14" s="54">
        <v>0.170571809943</v>
      </c>
      <c r="E14" s="54">
        <v>0.170571809943</v>
      </c>
      <c r="F14" s="54">
        <v>0.121825787856</v>
      </c>
      <c r="G14" s="54">
        <v>0.121825787856</v>
      </c>
      <c r="H14" s="45">
        <v>0.26400000000000001</v>
      </c>
      <c r="I14" s="55">
        <v>0.26400000000000001</v>
      </c>
      <c r="J14" s="55">
        <v>0.26400000000000001</v>
      </c>
      <c r="K14" s="55">
        <v>0.26400000000000001</v>
      </c>
      <c r="L14" s="45">
        <v>0.184</v>
      </c>
      <c r="M14" s="55">
        <v>0.184</v>
      </c>
      <c r="N14" s="55">
        <v>0.184</v>
      </c>
      <c r="O14" s="55">
        <v>0.184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0.100736898108276</v>
      </c>
      <c r="D15" s="52">
        <f t="shared" si="0"/>
        <v>9.5124828112632134E-2</v>
      </c>
      <c r="E15" s="52">
        <f t="shared" si="0"/>
        <v>9.5124828112632134E-2</v>
      </c>
      <c r="F15" s="52">
        <f t="shared" si="0"/>
        <v>6.7940049023109794E-2</v>
      </c>
      <c r="G15" s="52">
        <f t="shared" si="0"/>
        <v>6.7940049023109794E-2</v>
      </c>
      <c r="H15" s="52">
        <f t="shared" si="0"/>
        <v>0.147228048</v>
      </c>
      <c r="I15" s="52">
        <f t="shared" si="0"/>
        <v>0.147228048</v>
      </c>
      <c r="J15" s="52">
        <f t="shared" si="0"/>
        <v>0.147228048</v>
      </c>
      <c r="K15" s="52">
        <f t="shared" si="0"/>
        <v>0.147228048</v>
      </c>
      <c r="L15" s="52">
        <f t="shared" si="0"/>
        <v>0.102613488</v>
      </c>
      <c r="M15" s="52">
        <f t="shared" si="0"/>
        <v>0.102613488</v>
      </c>
      <c r="N15" s="52">
        <f t="shared" si="0"/>
        <v>0.102613488</v>
      </c>
      <c r="O15" s="52">
        <f t="shared" si="0"/>
        <v>0.102613488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9JVPXTA9TzIIame5Za1j4fdRTX8xDJstWk3VodmqMWaUinZ8mPKijYpNC3YWh0Fh7gMhyoes1AMgixI1WS57Pg==" saltValue="nTIF7g4Wiwcz9RP8Y9TB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0.46842299999999998</v>
      </c>
      <c r="D2" s="53">
        <v>0.41673149999999998</v>
      </c>
      <c r="E2" s="53"/>
      <c r="F2" s="53"/>
      <c r="G2" s="53"/>
    </row>
    <row r="3" spans="1:7" x14ac:dyDescent="0.25">
      <c r="B3" s="3" t="s">
        <v>127</v>
      </c>
      <c r="C3" s="53">
        <v>4.6381242573261303E-2</v>
      </c>
      <c r="D3" s="53">
        <v>0.1215774</v>
      </c>
      <c r="E3" s="53"/>
      <c r="F3" s="53"/>
      <c r="G3" s="53"/>
    </row>
    <row r="4" spans="1:7" x14ac:dyDescent="0.25">
      <c r="B4" s="3" t="s">
        <v>126</v>
      </c>
      <c r="C4" s="53">
        <v>0.30027530000000002</v>
      </c>
      <c r="D4" s="53">
        <v>0.3281985</v>
      </c>
      <c r="E4" s="53">
        <v>0.83700162172317505</v>
      </c>
      <c r="F4" s="53">
        <v>0.469768106937408</v>
      </c>
      <c r="G4" s="53"/>
    </row>
    <row r="5" spans="1:7" x14ac:dyDescent="0.25">
      <c r="B5" s="3" t="s">
        <v>125</v>
      </c>
      <c r="C5" s="52">
        <v>0.18513950000000001</v>
      </c>
      <c r="D5" s="52">
        <v>0.13349259999999999</v>
      </c>
      <c r="E5" s="52">
        <f>1-SUM(E2:E4)</f>
        <v>0.16299837827682495</v>
      </c>
      <c r="F5" s="52">
        <f>1-SUM(F2:F4)</f>
        <v>0.530231893062592</v>
      </c>
      <c r="G5" s="52">
        <f>1-SUM(G2:G4)</f>
        <v>1</v>
      </c>
    </row>
  </sheetData>
  <sheetProtection algorithmName="SHA-512" hashValue="Bcofz9HUN0y42OFU8cmdOEFN4td0coV9loRzoTcNc7IPkdfXWXyA0mNqLOatGvkCeeCKW4zcegiFn0deiali3Q==" saltValue="OnhoTvfUayzg1shMNJKN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TmjuOFbkpDU6W3Yy5n31lpCE3InKjdRtPN1PB/YAQOuQzmNh1HRZ1BQY2cB7IltzGiKHSWKj7czXnDLG7rMzg==" saltValue="X1s2siu0sbInZYXBhMvac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ezaWe2f/w2OS2vxbVGsbUv5VxQyuezuoIIYdS46Gv44XrzXFbAP1SlhJ5r7H+8HIMRjV3+vpiE4pnUxAqcf6TA==" saltValue="bUgPIvI8XmF6XRdkd878r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B3QlUqiG2ncjqV2eIGwILSPz+fl6j7ZTH1gFwh7r1IDNfJTtHBxPnZb/rDtKg/YtR5JO1780r40IH/z8aOs1Tg==" saltValue="XyRgvYSYBRzVyT7+B5LX6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zRBucI2mqQ0MCSV1mV+wzc2AzyI69tUm+fgrOgtm7UuwvzgwQYzmmuyI5CTYM4k0L/lud8fyFZ0fzPvY8wXwng==" saltValue="a4WocWWdUVnYJCZAFu/AF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2024-03-18T00:47:30Z</dcterms:modified>
</cp:coreProperties>
</file>