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25081E80-51E8-40DC-9C13-E72C234CB751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A30" i="2"/>
  <c r="H11" i="2"/>
  <c r="I11" i="2" s="1"/>
  <c r="G11" i="2"/>
  <c r="H10" i="2"/>
  <c r="G10" i="2"/>
  <c r="I10" i="2" s="1"/>
  <c r="H9" i="2"/>
  <c r="I9" i="2" s="1"/>
  <c r="G9" i="2"/>
  <c r="H8" i="2"/>
  <c r="G8" i="2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A2" i="2"/>
  <c r="A31" i="2" s="1"/>
  <c r="C33" i="1"/>
  <c r="C20" i="1"/>
  <c r="A19" i="2" l="1"/>
  <c r="I2" i="2"/>
  <c r="I8" i="2"/>
  <c r="A21" i="2"/>
  <c r="A32" i="2"/>
  <c r="A39" i="2"/>
  <c r="A22" i="2"/>
  <c r="A33" i="2"/>
  <c r="I39" i="2"/>
  <c r="A3" i="2"/>
  <c r="A13" i="2"/>
  <c r="A24" i="2"/>
  <c r="A34" i="2"/>
  <c r="A40" i="2"/>
  <c r="A25" i="2"/>
  <c r="A26" i="2"/>
  <c r="A35" i="2"/>
  <c r="A16" i="2"/>
  <c r="A17" i="2"/>
  <c r="A27" i="2"/>
  <c r="A38" i="2"/>
  <c r="A14" i="2"/>
  <c r="A37" i="2"/>
  <c r="I4" i="2"/>
  <c r="A18" i="2"/>
  <c r="A29" i="2"/>
  <c r="A4" i="2"/>
  <c r="A5" i="2" s="1"/>
  <c r="A6" i="2"/>
  <c r="A7" i="2" s="1"/>
  <c r="A8" i="2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<sst xmlns="http://schemas.openxmlformats.org/spreadsheetml/2006/main" count="2092" uniqueCount="341">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</sst>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12326096.125</v>
      </c>
    </row>
    <row r="8" spans="1:3" ht="15" customHeight="1" x14ac:dyDescent="0.25">
      <c r="B8" s="5" t="s">
        <v>44</v>
      </c>
      <c r="C8" s="44">
        <v>3.2000000000000001E-2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0.81604232788085895</v>
      </c>
    </row>
    <row r="11" spans="1:3" ht="15" customHeight="1" x14ac:dyDescent="0.25">
      <c r="B11" s="5" t="s">
        <v>49</v>
      </c>
      <c r="C11" s="45">
        <v>0.82799999999999996</v>
      </c>
    </row>
    <row r="12" spans="1:3" ht="15" customHeight="1" x14ac:dyDescent="0.25">
      <c r="B12" s="5" t="s">
        <v>41</v>
      </c>
      <c r="C12" s="45">
        <v>0.68099999999999994</v>
      </c>
    </row>
    <row r="13" spans="1:3" ht="15" customHeight="1" x14ac:dyDescent="0.25">
      <c r="B13" s="5" t="s">
        <v>62</v>
      </c>
      <c r="C13" s="45">
        <v>0.2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0.1125</v>
      </c>
    </row>
    <row r="24" spans="1:3" ht="15" customHeight="1" x14ac:dyDescent="0.25">
      <c r="B24" s="15" t="s">
        <v>46</v>
      </c>
      <c r="C24" s="45">
        <v>0.58400000000000007</v>
      </c>
    </row>
    <row r="25" spans="1:3" ht="15" customHeight="1" x14ac:dyDescent="0.25">
      <c r="B25" s="15" t="s">
        <v>47</v>
      </c>
      <c r="C25" s="45">
        <v>0.28139999999999998</v>
      </c>
    </row>
    <row r="26" spans="1:3" ht="15" customHeight="1" x14ac:dyDescent="0.25">
      <c r="B26" s="15" t="s">
        <v>48</v>
      </c>
      <c r="C26" s="45">
        <v>2.2100000000000002E-2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0.31611757179508598</v>
      </c>
    </row>
    <row r="30" spans="1:3" ht="14.25" customHeight="1" x14ac:dyDescent="0.25">
      <c r="B30" s="25" t="s">
        <v>63</v>
      </c>
      <c r="C30" s="99">
        <v>5.6193137396614398E-2</v>
      </c>
    </row>
    <row r="31" spans="1:3" ht="14.25" customHeight="1" x14ac:dyDescent="0.25">
      <c r="B31" s="25" t="s">
        <v>10</v>
      </c>
      <c r="C31" s="99">
        <v>7.8032026110379793E-2</v>
      </c>
    </row>
    <row r="32" spans="1:3" ht="14.25" customHeight="1" x14ac:dyDescent="0.25">
      <c r="B32" s="25" t="s">
        <v>11</v>
      </c>
      <c r="C32" s="99">
        <v>0.54965726469791998</v>
      </c>
    </row>
    <row r="33" spans="1:5" ht="13" customHeight="1" x14ac:dyDescent="0.25">
      <c r="B33" s="27" t="s">
        <v>60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11.1415100089785</v>
      </c>
    </row>
    <row r="38" spans="1:5" ht="15" customHeight="1" x14ac:dyDescent="0.25">
      <c r="B38" s="11" t="s">
        <v>35</v>
      </c>
      <c r="C38" s="43">
        <v>17.325358912399299</v>
      </c>
      <c r="D38" s="12"/>
      <c r="E38" s="13"/>
    </row>
    <row r="39" spans="1:5" ht="15" customHeight="1" x14ac:dyDescent="0.25">
      <c r="B39" s="11" t="s">
        <v>61</v>
      </c>
      <c r="C39" s="43">
        <v>20.280601178447501</v>
      </c>
      <c r="D39" s="12"/>
      <c r="E39" s="12"/>
    </row>
    <row r="40" spans="1:5" ht="15" customHeight="1" x14ac:dyDescent="0.25">
      <c r="B40" s="11" t="s">
        <v>36</v>
      </c>
      <c r="C40" s="100">
        <v>0.37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9.0475372810000003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9.4284E-3</v>
      </c>
      <c r="D45" s="12"/>
    </row>
    <row r="46" spans="1:5" ht="15.75" customHeight="1" x14ac:dyDescent="0.25">
      <c r="B46" s="11" t="s">
        <v>51</v>
      </c>
      <c r="C46" s="45">
        <v>7.8881199999999999E-2</v>
      </c>
      <c r="D46" s="12"/>
    </row>
    <row r="47" spans="1:5" ht="15.75" customHeight="1" x14ac:dyDescent="0.25">
      <c r="B47" s="11" t="s">
        <v>59</v>
      </c>
      <c r="C47" s="45">
        <v>7.7892599999999992E-2</v>
      </c>
      <c r="D47" s="12"/>
      <c r="E47" s="13"/>
    </row>
    <row r="48" spans="1:5" ht="15" customHeight="1" x14ac:dyDescent="0.25">
      <c r="B48" s="11" t="s">
        <v>58</v>
      </c>
      <c r="C48" s="46">
        <v>0.83379779999999992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2.9</v>
      </c>
      <c r="D51" s="12"/>
    </row>
    <row r="52" spans="1:4" ht="15" customHeight="1" x14ac:dyDescent="0.25">
      <c r="B52" s="11" t="s">
        <v>13</v>
      </c>
      <c r="C52" s="100">
        <v>2.9</v>
      </c>
    </row>
    <row r="53" spans="1:4" ht="15.75" customHeight="1" x14ac:dyDescent="0.25">
      <c r="B53" s="11" t="s">
        <v>16</v>
      </c>
      <c r="C53" s="100">
        <v>2.9</v>
      </c>
    </row>
    <row r="54" spans="1:4" ht="15.75" customHeight="1" x14ac:dyDescent="0.25">
      <c r="B54" s="11" t="s">
        <v>14</v>
      </c>
      <c r="C54" s="100">
        <v>2.9</v>
      </c>
    </row>
    <row r="55" spans="1:4" ht="15.75" customHeight="1" x14ac:dyDescent="0.25">
      <c r="B55" s="11" t="s">
        <v>15</v>
      </c>
      <c r="C55" s="100">
        <v>2.9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2.0689655172413789E-2</v>
      </c>
    </row>
    <row r="59" spans="1:4" ht="15.75" customHeight="1" x14ac:dyDescent="0.25">
      <c r="B59" s="11" t="s">
        <v>40</v>
      </c>
      <c r="C59" s="45">
        <v>0.59136299999999997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nN+/MJsUOpPjAWHoESagLKOKQ8WGxw9qrT0G68AoSiYGnXnR50F4SPg7PMv7nRQmmPOxpwivCAM9oXr9f5f8yg==" saltValue="bj2SnlMS8BJfG0un68zwb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0.15700899968743301</v>
      </c>
      <c r="C2" s="98">
        <v>0.95</v>
      </c>
      <c r="D2" s="56">
        <v>53.780271394236287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39.784890774088787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347.78517426090019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0.95829964668228185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12.9171902178847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12.9171902178847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12.9171902178847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12.9171902178847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12.9171902178847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12.9171902178847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0.22568962428729</v>
      </c>
      <c r="C16" s="98">
        <v>0.95</v>
      </c>
      <c r="D16" s="56">
        <v>0.62395601778004439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0.86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8.03774489307912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8.03774489307912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0.35698020940000003</v>
      </c>
      <c r="C21" s="98">
        <v>0.95</v>
      </c>
      <c r="D21" s="56">
        <v>12.62389598237889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22.241140820701322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0.1</v>
      </c>
      <c r="C23" s="98">
        <v>0.95</v>
      </c>
      <c r="D23" s="56">
        <v>4.2199693960316731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0.64891979094384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0.20135377322435399</v>
      </c>
      <c r="C27" s="98">
        <v>0.95</v>
      </c>
      <c r="D27" s="56">
        <v>18.478294846889369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0.28365869999999999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103.9500061944096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3.9648996179997198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0.35294160000000002</v>
      </c>
      <c r="C32" s="98">
        <v>0.95</v>
      </c>
      <c r="D32" s="56">
        <v>1.329958673761263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0.94193021882439099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0.68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1.6949318349361399E-2</v>
      </c>
      <c r="C38" s="98">
        <v>0.95</v>
      </c>
      <c r="D38" s="56">
        <v>5.0532276389922108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0.34690110000000002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F1AVwHZfmT3hV8GWWyYzvItmOBxsi1Zmp0sK87qsAgLgDnTAeuOpeGvyN+Pt0BnvEbLKRplarF7ZHQuxxT/4ug==" saltValue="cErdnysLPgIBIXySMZAwU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EhwAxhtLpgjEN7NYT9oHzZbo+l9cG8ZpHgSv4RFfbhSfTs9+KP4lsWOySpcoU8IwsWBlXXjuQ6MfU49sGt5EHg==" saltValue="1x46Z7ZUTu62vLMvt7SlV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kJ4frq9S/V0Oxum+t8SRzVvEOaPPXaUrMy1QqwG9mvGPuOilY0/LRuQ+bv7RkZjzKbljuc0mVp7p+s885J488Q==" saltValue="eqCJ2Vs+V2+IuCD814iG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5">
      <c r="A3" s="3" t="s">
        <v>6</v>
      </c>
      <c r="B3" s="21">
        <f>frac_mam_1month * 2.6</f>
        <v>0.17488930076360706</v>
      </c>
      <c r="C3" s="21">
        <f>frac_mam_1_5months * 2.6</f>
        <v>0.17488930076360706</v>
      </c>
      <c r="D3" s="21">
        <f>frac_mam_6_11months * 2.6</f>
        <v>0.13471304178237906</v>
      </c>
      <c r="E3" s="21">
        <f>frac_mam_12_23months * 2.6</f>
        <v>0.14317111745476724</v>
      </c>
      <c r="F3" s="21">
        <f>frac_mam_24_59months * 2.6</f>
        <v>0.10243702679872506</v>
      </c>
    </row>
    <row r="4" spans="1:6" ht="15.75" customHeight="1" x14ac:dyDescent="0.25">
      <c r="A4" s="3" t="s">
        <v>207</v>
      </c>
      <c r="B4" s="21">
        <f>frac_sam_1month * 2.6</f>
        <v>0.23607291579246517</v>
      </c>
      <c r="C4" s="21">
        <f>frac_sam_1_5months * 2.6</f>
        <v>0.23607291579246517</v>
      </c>
      <c r="D4" s="21">
        <f>frac_sam_6_11months * 2.6</f>
        <v>0.18909107744693765</v>
      </c>
      <c r="E4" s="21">
        <f>frac_sam_12_23months * 2.6</f>
        <v>0.1169336281716824</v>
      </c>
      <c r="F4" s="21">
        <f>frac_sam_24_59months * 2.6</f>
        <v>9.5383666455745725E-2</v>
      </c>
    </row>
  </sheetData>
  <sheetProtection algorithmName="SHA-512" hashValue="LjneT3Ohu1QtR/S60+u+vKu32kFM13JIEoLvPPhPrwHGD+bA+52CgKS9pS2tp/ykhZMpEDU8eSiLcCCKn8ZbEw==" saltValue="YMMF8YlKVFG/SAisH/aX+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3.2000000000000001E-2</v>
      </c>
      <c r="E2" s="60">
        <f>food_insecure</f>
        <v>3.2000000000000001E-2</v>
      </c>
      <c r="F2" s="60">
        <f>food_insecure</f>
        <v>3.2000000000000001E-2</v>
      </c>
      <c r="G2" s="60">
        <f>food_insecure</f>
        <v>3.2000000000000001E-2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3.2000000000000001E-2</v>
      </c>
      <c r="F5" s="60">
        <f>food_insecure</f>
        <v>3.2000000000000001E-2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3.2000000000000001E-2</v>
      </c>
      <c r="F8" s="60">
        <f>food_insecure</f>
        <v>3.2000000000000001E-2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3.2000000000000001E-2</v>
      </c>
      <c r="F9" s="60">
        <f>food_insecure</f>
        <v>3.2000000000000001E-2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0.68099999999999994</v>
      </c>
      <c r="E10" s="60">
        <f>IF(ISBLANK(comm_deliv), frac_children_health_facility,1)</f>
        <v>0.68099999999999994</v>
      </c>
      <c r="F10" s="60">
        <f>IF(ISBLANK(comm_deliv), frac_children_health_facility,1)</f>
        <v>0.68099999999999994</v>
      </c>
      <c r="G10" s="60">
        <f>IF(ISBLANK(comm_deliv), frac_children_health_facility,1)</f>
        <v>0.68099999999999994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3.2000000000000001E-2</v>
      </c>
      <c r="I15" s="60">
        <f>food_insecure</f>
        <v>3.2000000000000001E-2</v>
      </c>
      <c r="J15" s="60">
        <f>food_insecure</f>
        <v>3.2000000000000001E-2</v>
      </c>
      <c r="K15" s="60">
        <f>food_insecure</f>
        <v>3.2000000000000001E-2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0.82799999999999996</v>
      </c>
      <c r="I18" s="60">
        <f>frac_PW_health_facility</f>
        <v>0.82799999999999996</v>
      </c>
      <c r="J18" s="60">
        <f>frac_PW_health_facility</f>
        <v>0.82799999999999996</v>
      </c>
      <c r="K18" s="60">
        <f>frac_PW_health_facility</f>
        <v>0.82799999999999996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</v>
      </c>
      <c r="M24" s="60">
        <f>famplan_unmet_need</f>
        <v>0.2</v>
      </c>
      <c r="N24" s="60">
        <f>famplan_unmet_need</f>
        <v>0.2</v>
      </c>
      <c r="O24" s="60">
        <f>famplan_unmet_need</f>
        <v>0.2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9.1375454895019734E-2</v>
      </c>
      <c r="M25" s="60">
        <f>(1-food_insecure)*(0.49)+food_insecure*(0.7)</f>
        <v>0.49671999999999994</v>
      </c>
      <c r="N25" s="60">
        <f>(1-food_insecure)*(0.49)+food_insecure*(0.7)</f>
        <v>0.49671999999999994</v>
      </c>
      <c r="O25" s="60">
        <f>(1-food_insecure)*(0.49)+food_insecure*(0.7)</f>
        <v>0.49671999999999994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3.9160909240722748E-2</v>
      </c>
      <c r="M26" s="60">
        <f>(1-food_insecure)*(0.21)+food_insecure*(0.3)</f>
        <v>0.21287999999999999</v>
      </c>
      <c r="N26" s="60">
        <f>(1-food_insecure)*(0.21)+food_insecure*(0.3)</f>
        <v>0.21287999999999999</v>
      </c>
      <c r="O26" s="60">
        <f>(1-food_insecure)*(0.21)+food_insecure*(0.3)</f>
        <v>0.21287999999999999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5.3421307983398558E-2</v>
      </c>
      <c r="M27" s="60">
        <f>(1-food_insecure)*(0.3)</f>
        <v>0.29039999999999999</v>
      </c>
      <c r="N27" s="60">
        <f>(1-food_insecure)*(0.3)</f>
        <v>0.29039999999999999</v>
      </c>
      <c r="O27" s="60">
        <f>(1-food_insecure)*(0.3)</f>
        <v>0.29039999999999999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0.81604232788085884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3PZ+uETsUSQe+z6man8hhH4bTy5cz9Od7SsU5D0wpFI50taEfnx7oZBmo80IbwTHhucZHTMK/AYuQi+0hv57dA==" saltValue="V4mSYivbuLFnumYfN+s3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6oc8T6/xQ6VJLBnW+pZxYLRVkS8jVpDlRNIOwWrtOKc9+0aqT3ZUEsjVFzQIFxnqk185KJfqV/NNA43nAHHdIA==" saltValue="JYSHT14D/hYvMcq/HsABL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2VnpD3Z44A6KQhs/i0TGOIa40ULO9kuiqEHsPmgvc4lOqVILn8rEztZWZI+hzrqjC3PoC5AW/mztR3r7c41LMA==" saltValue="4gMnpKdTDrUW2PCI1Xvjj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34BaWNL3+Ne085XVEc9tfPeAVZVoY9ZkJRHTa5595A8iLX3IlkcUdPVJ2pMW3m78bpeqChzqFto43ols1Pwa0A==" saltValue="vVm4fghKJv1UsA8kpk/V/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IAntutG9yBP1JQ3eYMTOVCpeKgyj1utL/EP8Ls9Yef3Nb3GiuiE2wWXVi+3OYJveYCvPBPpJcIK3wf9g/fZxTQ==" saltValue="a22j/7IFWv+OjJkM82p5U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5CLB7QWvq4USfsS7cp1VmZvEsWtwDGru5AAhdEIpRxnQiHS3lPMnWy4K1I50u/XkeGJn90YjYbM2ITG6kGQ23A==" saltValue="QzgLI1OtwXEXCidxFBnaT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2408502.2752</v>
      </c>
      <c r="C2" s="49">
        <v>4379000</v>
      </c>
      <c r="D2" s="49">
        <v>7881000</v>
      </c>
      <c r="E2" s="49">
        <v>7892000</v>
      </c>
      <c r="F2" s="49">
        <v>5909000</v>
      </c>
      <c r="G2" s="17">
        <f t="shared" ref="G2:G11" si="0">C2+D2+E2+F2</f>
        <v>26061000</v>
      </c>
      <c r="H2" s="17">
        <f t="shared" ref="H2:H11" si="1">(B2 + stillbirth*B2/(1000-stillbirth))/(1-abortion)</f>
        <v>2761923.0049912739</v>
      </c>
      <c r="I2" s="17">
        <f t="shared" ref="I2:I11" si="2">G2-H2</f>
        <v>23299076.995008726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2398744.3391999998</v>
      </c>
      <c r="C3" s="50">
        <v>4424000</v>
      </c>
      <c r="D3" s="50">
        <v>7905000</v>
      </c>
      <c r="E3" s="50">
        <v>7976000</v>
      </c>
      <c r="F3" s="50">
        <v>6111000</v>
      </c>
      <c r="G3" s="17">
        <f t="shared" si="0"/>
        <v>26416000</v>
      </c>
      <c r="H3" s="17">
        <f t="shared" si="1"/>
        <v>2750733.2011878309</v>
      </c>
      <c r="I3" s="17">
        <f t="shared" si="2"/>
        <v>23665266.79881217</v>
      </c>
    </row>
    <row r="4" spans="1:9" ht="15.75" customHeight="1" x14ac:dyDescent="0.25">
      <c r="A4" s="5">
        <f t="shared" si="3"/>
        <v>2023</v>
      </c>
      <c r="B4" s="49">
        <v>2386877.3855999992</v>
      </c>
      <c r="C4" s="50">
        <v>4470000</v>
      </c>
      <c r="D4" s="50">
        <v>7951000</v>
      </c>
      <c r="E4" s="50">
        <v>8012000</v>
      </c>
      <c r="F4" s="50">
        <v>6313000</v>
      </c>
      <c r="G4" s="17">
        <f t="shared" si="0"/>
        <v>26746000</v>
      </c>
      <c r="H4" s="17">
        <f t="shared" si="1"/>
        <v>2737124.9050759734</v>
      </c>
      <c r="I4" s="17">
        <f t="shared" si="2"/>
        <v>24008875.094924025</v>
      </c>
    </row>
    <row r="5" spans="1:9" ht="15.75" customHeight="1" x14ac:dyDescent="0.25">
      <c r="A5" s="5">
        <f t="shared" si="3"/>
        <v>2024</v>
      </c>
      <c r="B5" s="49">
        <v>2373041.52</v>
      </c>
      <c r="C5" s="50">
        <v>4562000</v>
      </c>
      <c r="D5" s="50">
        <v>8017000</v>
      </c>
      <c r="E5" s="50">
        <v>8013000</v>
      </c>
      <c r="F5" s="50">
        <v>6525000</v>
      </c>
      <c r="G5" s="17">
        <f t="shared" si="0"/>
        <v>27117000</v>
      </c>
      <c r="H5" s="17">
        <f t="shared" si="1"/>
        <v>2721258.7811830933</v>
      </c>
      <c r="I5" s="17">
        <f t="shared" si="2"/>
        <v>24395741.218816906</v>
      </c>
    </row>
    <row r="6" spans="1:9" ht="15.75" customHeight="1" x14ac:dyDescent="0.25">
      <c r="A6" s="5">
        <f t="shared" si="3"/>
        <v>2025</v>
      </c>
      <c r="B6" s="49">
        <v>2357388.7080000001</v>
      </c>
      <c r="C6" s="50">
        <v>4722000</v>
      </c>
      <c r="D6" s="50">
        <v>8105000</v>
      </c>
      <c r="E6" s="50">
        <v>7988000</v>
      </c>
      <c r="F6" s="50">
        <v>6749000</v>
      </c>
      <c r="G6" s="17">
        <f t="shared" si="0"/>
        <v>27564000</v>
      </c>
      <c r="H6" s="17">
        <f t="shared" si="1"/>
        <v>2703309.0943587315</v>
      </c>
      <c r="I6" s="17">
        <f t="shared" si="2"/>
        <v>24860690.905641269</v>
      </c>
    </row>
    <row r="7" spans="1:9" ht="15.75" customHeight="1" x14ac:dyDescent="0.25">
      <c r="A7" s="5">
        <f t="shared" si="3"/>
        <v>2026</v>
      </c>
      <c r="B7" s="49">
        <v>2371204.7999999998</v>
      </c>
      <c r="C7" s="50">
        <v>4932000</v>
      </c>
      <c r="D7" s="50">
        <v>8204000</v>
      </c>
      <c r="E7" s="50">
        <v>7941000</v>
      </c>
      <c r="F7" s="50">
        <v>6959000</v>
      </c>
      <c r="G7" s="17">
        <f t="shared" si="0"/>
        <v>28036000</v>
      </c>
      <c r="H7" s="17">
        <f t="shared" si="1"/>
        <v>2719152.5430973079</v>
      </c>
      <c r="I7" s="17">
        <f t="shared" si="2"/>
        <v>25316847.45690269</v>
      </c>
    </row>
    <row r="8" spans="1:9" ht="15.75" customHeight="1" x14ac:dyDescent="0.25">
      <c r="A8" s="5">
        <f t="shared" si="3"/>
        <v>2027</v>
      </c>
      <c r="B8" s="49">
        <v>2384230.932</v>
      </c>
      <c r="C8" s="50">
        <v>5210000</v>
      </c>
      <c r="D8" s="50">
        <v>8317000</v>
      </c>
      <c r="E8" s="50">
        <v>7869000</v>
      </c>
      <c r="F8" s="50">
        <v>7178000</v>
      </c>
      <c r="G8" s="17">
        <f t="shared" si="0"/>
        <v>28574000</v>
      </c>
      <c r="H8" s="17">
        <f t="shared" si="1"/>
        <v>2734090.1140547055</v>
      </c>
      <c r="I8" s="17">
        <f t="shared" si="2"/>
        <v>25839909.885945294</v>
      </c>
    </row>
    <row r="9" spans="1:9" ht="15.75" customHeight="1" x14ac:dyDescent="0.25">
      <c r="A9" s="5">
        <f t="shared" si="3"/>
        <v>2028</v>
      </c>
      <c r="B9" s="49">
        <v>2396574.5359999998</v>
      </c>
      <c r="C9" s="50">
        <v>5511000</v>
      </c>
      <c r="D9" s="50">
        <v>8458000</v>
      </c>
      <c r="E9" s="50">
        <v>7786000</v>
      </c>
      <c r="F9" s="50">
        <v>7394000</v>
      </c>
      <c r="G9" s="17">
        <f t="shared" si="0"/>
        <v>29149000</v>
      </c>
      <c r="H9" s="17">
        <f t="shared" si="1"/>
        <v>2748245.0036735125</v>
      </c>
      <c r="I9" s="17">
        <f t="shared" si="2"/>
        <v>26400754.996326488</v>
      </c>
    </row>
    <row r="10" spans="1:9" ht="15.75" customHeight="1" x14ac:dyDescent="0.25">
      <c r="A10" s="5">
        <f t="shared" si="3"/>
        <v>2029</v>
      </c>
      <c r="B10" s="49">
        <v>2408400.472000001</v>
      </c>
      <c r="C10" s="50">
        <v>5767000</v>
      </c>
      <c r="D10" s="50">
        <v>8642000</v>
      </c>
      <c r="E10" s="50">
        <v>7714000</v>
      </c>
      <c r="F10" s="50">
        <v>7585000</v>
      </c>
      <c r="G10" s="17">
        <f t="shared" si="0"/>
        <v>29708000</v>
      </c>
      <c r="H10" s="17">
        <f t="shared" si="1"/>
        <v>2761806.2633120343</v>
      </c>
      <c r="I10" s="17">
        <f t="shared" si="2"/>
        <v>26946193.736687966</v>
      </c>
    </row>
    <row r="11" spans="1:9" ht="15.75" customHeight="1" x14ac:dyDescent="0.25">
      <c r="A11" s="5">
        <f t="shared" si="3"/>
        <v>2030</v>
      </c>
      <c r="B11" s="49">
        <v>2419827.1680000001</v>
      </c>
      <c r="C11" s="50">
        <v>5933000</v>
      </c>
      <c r="D11" s="50">
        <v>8878000</v>
      </c>
      <c r="E11" s="50">
        <v>7668000</v>
      </c>
      <c r="F11" s="50">
        <v>7737000</v>
      </c>
      <c r="G11" s="17">
        <f t="shared" si="0"/>
        <v>30216000</v>
      </c>
      <c r="H11" s="17">
        <f t="shared" si="1"/>
        <v>2774909.6989526832</v>
      </c>
      <c r="I11" s="17">
        <f t="shared" si="2"/>
        <v>27441090.301047318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GWARlcxjntCcdMNtnjkBdN2beUAFgOyt0yc/eldAkPnAiCu8wWTYCmroDNPpUdAaIUO8bJuGIiMA3cGzn3kT+w==" saltValue="mi31QpnK5swueoFJexrgR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2.2460751303554796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2.2460751303554796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12.192115992683609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12.192115992683609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1.7164017160121332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1.7164017160121332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3.0517282362421079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3.0517282362421079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xoq/pLFRCrxL9sW31+DuheNJyyD+cFaUU4CFSBg1X3eGaruny2lriDmA4fDwDeGbDbPv+zkqz8upuFOtsCbdg==" saltValue="sWE1fDSjWvkFXsExgW4j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fdNca5xamf6W19CbO4e6N4rIhO/Bg3KjXMQiC6S3bSt75ASFRePzcBa1bGZKBSmnpRz+U4R/8bmhOXbtlB3Y+Q==" saltValue="0PZziOHPVqgdNchbcAorL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jnLAtTjdCxeBc7oLcE7OMYWNVuq33aU0xV/00rAUMVxy8GO/84QtaNtYtnZZbUJ04OADpp4UQCEjfhTjLHX3Lw==" saltValue="HDiGqSyuDYYg3DahRB+95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0.59354177302455413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0.57401462460711483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0.85762377104933263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0.84752450757097109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0.85762377104933263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0.84752450757097109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0.39224152636659076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0.37325537060918201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0.82315390379397735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0.81114798170528668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0.82315390379397735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0.81114798170528668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0.90427113104465606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0.8970836646421102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0.8925346838213547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0.88457850284957606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0.8925346838213547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0.88457850284957606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ltRyh9v4URGH+aTrKVCjnnVDwEIRyGvrDWVhcph5SgiOqYDEw0g05QUXhPLJKtICT7CcAoaRVdrjxZF3Ln0Mww==" saltValue="Kw2z+BvbslKUGcTdy6pI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BD025uWpXmpNdanYG/pnpzES+LX/89U6f50FtI2B2pT8SIMw3SNK2zp/rqsaho5sH+ZEHxjewiZg6KQgAO1MJw==" saltValue="/2ZXqhpy/fKeC6A+0W5P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0.55127409216791756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0.64053842393480054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0.64053842393480054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0.6655837951461876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0.6655837951461876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0.6655837951461876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0.6655837951461876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0.64642893221537545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0.64642893221537545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0.64642893221537545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0.64642893221537545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0.6564812937852651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0.7348819299168533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0.7348819299168533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0.75585937500000011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0.75585937500000011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0.75585937500000011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0.75585937500000011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0.73985431841831428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0.73985431841831428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0.73985431841831428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0.73985431841831428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0.35932406930503619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0.44857816777282528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0.44857816777282528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0.4760581347669598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0.4760581347669598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0.4760581347669598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0.4760581347669598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0.45493755480247416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0.45493755480247416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0.45493755480247416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0.45493755480247416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0.52713733900493998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0.61787492452845716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0.61787492452845716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0.6436208125445475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0.6436208125445475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0.6436208125445475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0.6436208125445475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0.62391876645355393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0.62391876645355393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0.62391876645355393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0.62391876645355393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0.93920104499637891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0.95727632609661206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0.95727632609661206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0.96157688465380775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0.96157688465380775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0.96157688465380775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0.96157688465380775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0.95831422735420402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0.95831422735420402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0.95831422735420402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0.95831422735420402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0.84601804981037898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0.88850764681543581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0.88850764681543581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0.89900010099989902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0.89900010099989902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0.89900010099989902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0.89900010099989902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0.89102599030131335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0.89102599030131335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0.89102599030131335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0.89102599030131335</v>
      </c>
    </row>
  </sheetData>
  <sheetProtection algorithmName="SHA-512" hashValue="F38rWUgbSnmIdCNmcqAiepcWd2li8lol0ecb3D+FKVnc138Xq71z4CBkhnyMXTe2zINEFsTp1AgxLpuapeWrxA==" saltValue="VFO7h14gGoPMkB0PpLwAi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0.73369974627745682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0.73752710144952882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0.74319576311485236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0.7448415415577152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0.73866248244399457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0.74182187370898245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0.74116310965011256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0.74430520098943309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0.62738132436676719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0.6319702439815007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0.63880215419640096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0.64079360055099566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0.63333522839128475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0.63714244635741635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0.63634751948021584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0.64014421665274246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0.85035578725670502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0.85284280060062989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0.85650552741997199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0.85756431092228702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0.85357839097511812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0.85562007324069533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0.85519499524404763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0.85721949248177043</v>
      </c>
    </row>
  </sheetData>
  <sheetProtection algorithmName="SHA-512" hashValue="Rik4W1IMgdbtlM+/BBHtekU2JXN7Q9Y2YRjhU0cqkzwN5TDFRkgiazaZ/bkBmGExVDe8yXamlRGiuCU6z2l2sg==" saltValue="U/Lz3Qxw5ubVLiWuQoIJ8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vNs07dUKBzSoYbVdtpwxdIEhsSMr3moie7+qFEsISkGNz2nmee5SsWue12X/rLcaICP4I1KDtHEODOqVj4PocA==" saltValue="v5b2X5cjeGCpyyUb7Ocuy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QsICwWd7jF7pyrohNw1eDCpDWY6o8G5D72dY9ZIwrZbn5uaRgzZb6lVd7+a8jMtO+VwUfDDVLybJfeouIdxD4g==" saltValue="D6EIsdEaP7D4RiGMCsObK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7.4336559318333065E-2</v>
      </c>
    </row>
    <row r="5" spans="1:8" ht="15.75" customHeight="1" x14ac:dyDescent="0.25">
      <c r="B5" s="19" t="s">
        <v>95</v>
      </c>
      <c r="C5" s="101">
        <v>4.2641103559561799E-2</v>
      </c>
    </row>
    <row r="6" spans="1:8" ht="15.75" customHeight="1" x14ac:dyDescent="0.25">
      <c r="B6" s="19" t="s">
        <v>91</v>
      </c>
      <c r="C6" s="101">
        <v>0.1804728791553005</v>
      </c>
    </row>
    <row r="7" spans="1:8" ht="15.75" customHeight="1" x14ac:dyDescent="0.25">
      <c r="B7" s="19" t="s">
        <v>96</v>
      </c>
      <c r="C7" s="101">
        <v>0.3762460752399866</v>
      </c>
    </row>
    <row r="8" spans="1:8" ht="15.75" customHeight="1" x14ac:dyDescent="0.25">
      <c r="B8" s="19" t="s">
        <v>98</v>
      </c>
      <c r="C8" s="101">
        <v>1.558712877092844E-2</v>
      </c>
    </row>
    <row r="9" spans="1:8" ht="15.75" customHeight="1" x14ac:dyDescent="0.25">
      <c r="B9" s="19" t="s">
        <v>92</v>
      </c>
      <c r="C9" s="101">
        <v>0.21371329561643729</v>
      </c>
    </row>
    <row r="10" spans="1:8" ht="15.75" customHeight="1" x14ac:dyDescent="0.25">
      <c r="B10" s="19" t="s">
        <v>94</v>
      </c>
      <c r="C10" s="101">
        <v>9.70029583394523E-2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0.1133879336821451</v>
      </c>
      <c r="D14" s="55">
        <v>0.1133879336821451</v>
      </c>
      <c r="E14" s="55">
        <v>0.1133879336821451</v>
      </c>
      <c r="F14" s="55">
        <v>0.1133879336821451</v>
      </c>
    </row>
    <row r="15" spans="1:8" ht="15.75" customHeight="1" x14ac:dyDescent="0.25">
      <c r="B15" s="19" t="s">
        <v>102</v>
      </c>
      <c r="C15" s="101">
        <v>0.20001360095657131</v>
      </c>
      <c r="D15" s="101">
        <v>0.20001360095657131</v>
      </c>
      <c r="E15" s="101">
        <v>0.20001360095657131</v>
      </c>
      <c r="F15" s="101">
        <v>0.20001360095657131</v>
      </c>
    </row>
    <row r="16" spans="1:8" ht="15.75" customHeight="1" x14ac:dyDescent="0.25">
      <c r="B16" s="19" t="s">
        <v>2</v>
      </c>
      <c r="C16" s="101">
        <v>2.524105267197271E-2</v>
      </c>
      <c r="D16" s="101">
        <v>2.524105267197271E-2</v>
      </c>
      <c r="E16" s="101">
        <v>2.524105267197271E-2</v>
      </c>
      <c r="F16" s="101">
        <v>2.524105267197271E-2</v>
      </c>
    </row>
    <row r="17" spans="1:8" ht="15.75" customHeight="1" x14ac:dyDescent="0.25">
      <c r="B17" s="19" t="s">
        <v>90</v>
      </c>
      <c r="C17" s="101">
        <v>2.4159920061617929E-3</v>
      </c>
      <c r="D17" s="101">
        <v>2.4159920061617929E-3</v>
      </c>
      <c r="E17" s="101">
        <v>2.4159920061617929E-3</v>
      </c>
      <c r="F17" s="101">
        <v>2.4159920061617929E-3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1.818257471320613E-2</v>
      </c>
      <c r="D19" s="101">
        <v>1.818257471320613E-2</v>
      </c>
      <c r="E19" s="101">
        <v>1.818257471320613E-2</v>
      </c>
      <c r="F19" s="101">
        <v>1.818257471320613E-2</v>
      </c>
    </row>
    <row r="20" spans="1:8" ht="15.75" customHeight="1" x14ac:dyDescent="0.25">
      <c r="B20" s="19" t="s">
        <v>79</v>
      </c>
      <c r="C20" s="101">
        <v>2.2047312594763169E-3</v>
      </c>
      <c r="D20" s="101">
        <v>2.2047312594763169E-3</v>
      </c>
      <c r="E20" s="101">
        <v>2.2047312594763169E-3</v>
      </c>
      <c r="F20" s="101">
        <v>2.2047312594763169E-3</v>
      </c>
    </row>
    <row r="21" spans="1:8" ht="15.75" customHeight="1" x14ac:dyDescent="0.25">
      <c r="B21" s="19" t="s">
        <v>88</v>
      </c>
      <c r="C21" s="101">
        <v>0.1065386215759607</v>
      </c>
      <c r="D21" s="101">
        <v>0.1065386215759607</v>
      </c>
      <c r="E21" s="101">
        <v>0.1065386215759607</v>
      </c>
      <c r="F21" s="101">
        <v>0.1065386215759607</v>
      </c>
    </row>
    <row r="22" spans="1:8" ht="15.75" customHeight="1" x14ac:dyDescent="0.25">
      <c r="B22" s="19" t="s">
        <v>99</v>
      </c>
      <c r="C22" s="101">
        <v>0.53201549313450591</v>
      </c>
      <c r="D22" s="101">
        <v>0.53201549313450591</v>
      </c>
      <c r="E22" s="101">
        <v>0.53201549313450591</v>
      </c>
      <c r="F22" s="101">
        <v>0.53201549313450591</v>
      </c>
    </row>
    <row r="23" spans="1:8" ht="15.75" customHeight="1" x14ac:dyDescent="0.25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2.7001540000000001E-2</v>
      </c>
    </row>
    <row r="27" spans="1:8" ht="15.75" customHeight="1" x14ac:dyDescent="0.25">
      <c r="B27" s="19" t="s">
        <v>89</v>
      </c>
      <c r="C27" s="101">
        <v>1.6281780999999999E-2</v>
      </c>
    </row>
    <row r="28" spans="1:8" ht="15.75" customHeight="1" x14ac:dyDescent="0.25">
      <c r="B28" s="19" t="s">
        <v>103</v>
      </c>
      <c r="C28" s="101">
        <v>0.425831776</v>
      </c>
    </row>
    <row r="29" spans="1:8" ht="15.75" customHeight="1" x14ac:dyDescent="0.25">
      <c r="B29" s="19" t="s">
        <v>86</v>
      </c>
      <c r="C29" s="101">
        <v>0.19528870200000001</v>
      </c>
    </row>
    <row r="30" spans="1:8" ht="15.75" customHeight="1" x14ac:dyDescent="0.25">
      <c r="B30" s="19" t="s">
        <v>4</v>
      </c>
      <c r="C30" s="101">
        <v>4.8735185E-2</v>
      </c>
    </row>
    <row r="31" spans="1:8" ht="15.75" customHeight="1" x14ac:dyDescent="0.25">
      <c r="B31" s="19" t="s">
        <v>80</v>
      </c>
      <c r="C31" s="101">
        <v>2.3526106000000001E-2</v>
      </c>
    </row>
    <row r="32" spans="1:8" ht="15.75" customHeight="1" x14ac:dyDescent="0.25">
      <c r="B32" s="19" t="s">
        <v>85</v>
      </c>
      <c r="C32" s="101">
        <v>7.7799310000000003E-3</v>
      </c>
    </row>
    <row r="33" spans="2:3" ht="15.75" customHeight="1" x14ac:dyDescent="0.25">
      <c r="B33" s="19" t="s">
        <v>100</v>
      </c>
      <c r="C33" s="101">
        <v>0.13107344500000001</v>
      </c>
    </row>
    <row r="34" spans="2:3" ht="15.75" customHeight="1" x14ac:dyDescent="0.25">
      <c r="B34" s="19" t="s">
        <v>87</v>
      </c>
      <c r="C34" s="101">
        <v>0.124481534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Bd+4CN+0byMy4+YlLrTlz/uO16f+qs241MG8HTuDP7mEwwufg4tgrHHv5V3Zl9Pe3EWM7hOtHdylZsNefr8v2w==" saltValue="sPeLx1ATjfIs4ZI9KrFt3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0.41894618340868817</v>
      </c>
      <c r="D2" s="52">
        <f>IFERROR(1-_xlfn.NORM.DIST(_xlfn.NORM.INV(SUM(D4:D5), 0, 1) + 1, 0, 1, TRUE), "")</f>
        <v>0.41894618340868817</v>
      </c>
      <c r="E2" s="52">
        <f>IFERROR(1-_xlfn.NORM.DIST(_xlfn.NORM.INV(SUM(E4:E5), 0, 1) + 1, 0, 1, TRUE), "")</f>
        <v>0.46841160866712928</v>
      </c>
      <c r="F2" s="52">
        <f>IFERROR(1-_xlfn.NORM.DIST(_xlfn.NORM.INV(SUM(F4:F5), 0, 1) + 1, 0, 1, TRUE), "")</f>
        <v>0.38200494431968857</v>
      </c>
      <c r="G2" s="52">
        <f>IFERROR(1-_xlfn.NORM.DIST(_xlfn.NORM.INV(SUM(G4:G5), 0, 1) + 1, 0, 1, TRUE), "")</f>
        <v>0.40237288412060357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0.36786625615220181</v>
      </c>
      <c r="D3" s="52">
        <f>IFERROR(_xlfn.NORM.DIST(_xlfn.NORM.INV(SUM(D4:D5), 0, 1) + 1, 0, 1, TRUE) - SUM(D4:D5), "")</f>
        <v>0.36786625615220181</v>
      </c>
      <c r="E3" s="52">
        <f>IFERROR(_xlfn.NORM.DIST(_xlfn.NORM.INV(SUM(E4:E5), 0, 1) + 1, 0, 1, TRUE) - SUM(E4:E5), "")</f>
        <v>0.35299444284940362</v>
      </c>
      <c r="F3" s="52">
        <f>IFERROR(_xlfn.NORM.DIST(_xlfn.NORM.INV(SUM(F4:F5), 0, 1) + 1, 0, 1, TRUE) - SUM(F4:F5), "")</f>
        <v>0.37596292263749942</v>
      </c>
      <c r="G3" s="52">
        <f>IFERROR(_xlfn.NORM.DIST(_xlfn.NORM.INV(SUM(G4:G5), 0, 1) + 1, 0, 1, TRUE) - SUM(G4:G5), "")</f>
        <v>0.37183908138070443</v>
      </c>
    </row>
    <row r="4" spans="1:15" ht="15.75" customHeight="1" x14ac:dyDescent="0.25">
      <c r="B4" s="5" t="s">
        <v>110</v>
      </c>
      <c r="C4" s="45">
        <v>0.104703389108181</v>
      </c>
      <c r="D4" s="53">
        <v>0.104703389108181</v>
      </c>
      <c r="E4" s="53">
        <v>8.4055960178375203E-2</v>
      </c>
      <c r="F4" s="53">
        <v>0.115142248570919</v>
      </c>
      <c r="G4" s="53">
        <v>0.121500127017498</v>
      </c>
    </row>
    <row r="5" spans="1:15" ht="15.75" customHeight="1" x14ac:dyDescent="0.25">
      <c r="B5" s="5" t="s">
        <v>106</v>
      </c>
      <c r="C5" s="45">
        <v>0.108484171330929</v>
      </c>
      <c r="D5" s="53">
        <v>0.108484171330929</v>
      </c>
      <c r="E5" s="53">
        <v>9.45379883050919E-2</v>
      </c>
      <c r="F5" s="53">
        <v>0.12688988447189301</v>
      </c>
      <c r="G5" s="53">
        <v>0.104287907481194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0.50097866517931777</v>
      </c>
      <c r="D8" s="52">
        <f>IFERROR(1-_xlfn.NORM.DIST(_xlfn.NORM.INV(SUM(D10:D11), 0, 1) + 1, 0, 1, TRUE), "")</f>
        <v>0.50097866517931777</v>
      </c>
      <c r="E8" s="52">
        <f>IFERROR(1-_xlfn.NORM.DIST(_xlfn.NORM.INV(SUM(E10:E11), 0, 1) + 1, 0, 1, TRUE), "")</f>
        <v>0.56063786714663832</v>
      </c>
      <c r="F8" s="52">
        <f>IFERROR(1-_xlfn.NORM.DIST(_xlfn.NORM.INV(SUM(F10:F11), 0, 1) + 1, 0, 1, TRUE), "")</f>
        <v>0.61076829749944217</v>
      </c>
      <c r="G8" s="52">
        <f>IFERROR(1-_xlfn.NORM.DIST(_xlfn.NORM.INV(SUM(G10:G11), 0, 1) + 1, 0, 1, TRUE), "")</f>
        <v>0.66709635305480475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0.34095894383757752</v>
      </c>
      <c r="D9" s="52">
        <f>IFERROR(_xlfn.NORM.DIST(_xlfn.NORM.INV(SUM(D10:D11), 0, 1) + 1, 0, 1, TRUE) - SUM(D10:D11), "")</f>
        <v>0.34095894383757752</v>
      </c>
      <c r="E9" s="52">
        <f>IFERROR(_xlfn.NORM.DIST(_xlfn.NORM.INV(SUM(E10:E11), 0, 1) + 1, 0, 1, TRUE) - SUM(E10:E11), "")</f>
        <v>0.31482208699593217</v>
      </c>
      <c r="F9" s="52">
        <f>IFERROR(_xlfn.NORM.DIST(_xlfn.NORM.INV(SUM(F10:F11), 0, 1) + 1, 0, 1, TRUE) - SUM(F10:F11), "")</f>
        <v>0.28919141572115414</v>
      </c>
      <c r="G9" s="52">
        <f>IFERROR(_xlfn.NORM.DIST(_xlfn.NORM.INV(SUM(G10:G11), 0, 1) + 1, 0, 1, TRUE) - SUM(G10:G11), "")</f>
        <v>0.25681876492424494</v>
      </c>
    </row>
    <row r="10" spans="1:15" ht="15.75" customHeight="1" x14ac:dyDescent="0.25">
      <c r="B10" s="5" t="s">
        <v>107</v>
      </c>
      <c r="C10" s="45">
        <v>6.7265115678310408E-2</v>
      </c>
      <c r="D10" s="53">
        <v>6.7265115678310408E-2</v>
      </c>
      <c r="E10" s="53">
        <v>5.18127083778381E-2</v>
      </c>
      <c r="F10" s="53">
        <v>5.5065814405679703E-2</v>
      </c>
      <c r="G10" s="53">
        <v>3.9398856461048098E-2</v>
      </c>
    </row>
    <row r="11" spans="1:15" ht="15.75" customHeight="1" x14ac:dyDescent="0.25">
      <c r="B11" s="5" t="s">
        <v>119</v>
      </c>
      <c r="C11" s="45">
        <v>9.0797275304794298E-2</v>
      </c>
      <c r="D11" s="53">
        <v>9.0797275304794298E-2</v>
      </c>
      <c r="E11" s="53">
        <v>7.2727337479591397E-2</v>
      </c>
      <c r="F11" s="53">
        <v>4.4974472373723998E-2</v>
      </c>
      <c r="G11" s="53">
        <v>3.6686025559902198E-2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0.53595509000000008</v>
      </c>
      <c r="D14" s="54">
        <v>0.52223759440999995</v>
      </c>
      <c r="E14" s="54">
        <v>0.52223759440999995</v>
      </c>
      <c r="F14" s="54">
        <v>0.30702391420699998</v>
      </c>
      <c r="G14" s="54">
        <v>0.30702391420699998</v>
      </c>
      <c r="H14" s="45">
        <v>0.22600000000000001</v>
      </c>
      <c r="I14" s="55">
        <v>0.22600000000000001</v>
      </c>
      <c r="J14" s="55">
        <v>0.22600000000000001</v>
      </c>
      <c r="K14" s="55">
        <v>0.22600000000000001</v>
      </c>
      <c r="L14" s="45">
        <v>0.28899999999999998</v>
      </c>
      <c r="M14" s="55">
        <v>0.28899999999999998</v>
      </c>
      <c r="N14" s="55">
        <v>0.28899999999999998</v>
      </c>
      <c r="O14" s="55">
        <v>0.28899999999999998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0.31694400988767002</v>
      </c>
      <c r="D15" s="52">
        <f t="shared" si="0"/>
        <v>0.3088319905430808</v>
      </c>
      <c r="E15" s="52">
        <f t="shared" si="0"/>
        <v>0.3088319905430808</v>
      </c>
      <c r="F15" s="52">
        <f t="shared" si="0"/>
        <v>0.18156258297719413</v>
      </c>
      <c r="G15" s="52">
        <f t="shared" si="0"/>
        <v>0.18156258297719413</v>
      </c>
      <c r="H15" s="52">
        <f t="shared" si="0"/>
        <v>0.133648038</v>
      </c>
      <c r="I15" s="52">
        <f t="shared" si="0"/>
        <v>0.133648038</v>
      </c>
      <c r="J15" s="52">
        <f t="shared" si="0"/>
        <v>0.133648038</v>
      </c>
      <c r="K15" s="52">
        <f t="shared" si="0"/>
        <v>0.133648038</v>
      </c>
      <c r="L15" s="52">
        <f t="shared" si="0"/>
        <v>0.17090390699999997</v>
      </c>
      <c r="M15" s="52">
        <f t="shared" si="0"/>
        <v>0.17090390699999997</v>
      </c>
      <c r="N15" s="52">
        <f t="shared" si="0"/>
        <v>0.17090390699999997</v>
      </c>
      <c r="O15" s="52">
        <f t="shared" si="0"/>
        <v>0.17090390699999997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OOIjxW8/qqttTqw/H84rrwH4BXJLmsv7BTAaiN44CecXh6y5ETgF/luyHB6CVjDQxaEoUQsjoN8pMBgLv9wcvA==" saltValue="UULOAw7P8K5c6ps4p+Yn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0.70579636096954301</v>
      </c>
      <c r="D2" s="53">
        <v>0.35294160000000002</v>
      </c>
      <c r="E2" s="53"/>
      <c r="F2" s="53"/>
      <c r="G2" s="53"/>
    </row>
    <row r="3" spans="1:7" x14ac:dyDescent="0.25">
      <c r="B3" s="3" t="s">
        <v>127</v>
      </c>
      <c r="C3" s="53">
        <v>0.15333433449268299</v>
      </c>
      <c r="D3" s="53">
        <v>0.30136089999999999</v>
      </c>
      <c r="E3" s="53"/>
      <c r="F3" s="53"/>
      <c r="G3" s="53"/>
    </row>
    <row r="4" spans="1:7" x14ac:dyDescent="0.25">
      <c r="B4" s="3" t="s">
        <v>126</v>
      </c>
      <c r="C4" s="53">
        <v>0.107103563845158</v>
      </c>
      <c r="D4" s="53">
        <v>0.27389649999999999</v>
      </c>
      <c r="E4" s="53">
        <v>0.88846325874328602</v>
      </c>
      <c r="F4" s="53">
        <v>0.50463616847991899</v>
      </c>
      <c r="G4" s="53"/>
    </row>
    <row r="5" spans="1:7" x14ac:dyDescent="0.25">
      <c r="B5" s="3" t="s">
        <v>125</v>
      </c>
      <c r="C5" s="52">
        <v>3.3765759319067001E-2</v>
      </c>
      <c r="D5" s="52">
        <v>7.1801036596298204E-2</v>
      </c>
      <c r="E5" s="52">
        <f>1-SUM(E2:E4)</f>
        <v>0.11153674125671398</v>
      </c>
      <c r="F5" s="52">
        <f>1-SUM(F2:F4)</f>
        <v>0.49536383152008101</v>
      </c>
      <c r="G5" s="52">
        <f>1-SUM(G2:G4)</f>
        <v>1</v>
      </c>
    </row>
  </sheetData>
  <sheetProtection algorithmName="SHA-512" hashValue="i/mbnZLPklqOY32EVtuwqtXeBWTDzLwn79bd8bK5ROqXj1s8VlBitPFUJKnKFr9QQXNWLnTFXBxiw9n+WXeHcA==" saltValue="eT+XAxmAE2eL82ZwxIJYB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LqExfr0VHB+Jl5cDAn2XxdXCJUOh7pK47USQxIjBKsB4TgH2qFXuhj010PpG55TaAvc7u50j7pnkiE/IBHKL4Q==" saltValue="RkxnD+5Qs1EU8PEVicqnl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i0ONVp338gGr+QVUpi5q6d8TBkBM9J8addqUvWIUVC/X7fj/cxJlDMbyCYvmV2196J86sem8kS9rzb+P0yjmZw==" saltValue="SumtPkLzUOrPUnK88qadQ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TCFV1DGIuojMSFMYrJmIXOSOhMw6XjMVduOijBnp/eWrDn27DNf6IIhs/XIOy+M7cJclASrGOtc9nLhFjxQw7w==" saltValue="tsX1YCwSzigmClx/jxLdQ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oL/5X/7dXOc4W9czwq3oDI26w7+/u7Gw+q19jOM0Q1IKUqrRPnz7ZtSE1inugxr2X/TDXiSKMePekolRVelzHw==" saltValue="2mxtXZKA02Q34KUc3NdH+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2024-03-18T00:47:35Z</dcterms:modified>
</cp:coreProperties>
</file>