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79379C11-CC83-4127-84C2-32EEE6952E40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5" i="2"/>
  <c r="A33" i="2"/>
  <c r="A27" i="2"/>
  <c r="H11" i="2"/>
  <c r="I11" i="2" s="1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39" i="2" s="1"/>
  <c r="C33" i="1"/>
  <c r="C20" i="1"/>
  <c r="A17" i="2" l="1"/>
  <c r="A19" i="2"/>
  <c r="A25" i="2"/>
  <c r="A28" i="2"/>
  <c r="A13" i="2"/>
  <c r="A21" i="2"/>
  <c r="A29" i="2"/>
  <c r="A37" i="2"/>
  <c r="A12" i="2"/>
  <c r="A20" i="2"/>
  <c r="A36" i="2"/>
  <c r="A14" i="2"/>
  <c r="A22" i="2"/>
  <c r="A30" i="2"/>
  <c r="A38" i="2"/>
  <c r="A40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<sst xmlns="http://schemas.openxmlformats.org/spreadsheetml/2006/main" count="2092" uniqueCount="341">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</sst>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167653.8291015625</v>
      </c>
    </row>
    <row r="8" spans="1:3" ht="15" customHeight="1" x14ac:dyDescent="0.25">
      <c r="B8" s="5" t="s">
        <v>44</v>
      </c>
      <c r="C8" s="44">
        <v>1.7000000000000001E-2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0.77384170532226604</v>
      </c>
    </row>
    <row r="11" spans="1:3" ht="15" customHeight="1" x14ac:dyDescent="0.25">
      <c r="B11" s="5" t="s">
        <v>49</v>
      </c>
      <c r="C11" s="45">
        <v>0.85599999999999998</v>
      </c>
    </row>
    <row r="12" spans="1:3" ht="15" customHeight="1" x14ac:dyDescent="0.25">
      <c r="B12" s="5" t="s">
        <v>41</v>
      </c>
      <c r="C12" s="45">
        <v>0.82299999999999995</v>
      </c>
    </row>
    <row r="13" spans="1:3" ht="15" customHeight="1" x14ac:dyDescent="0.25">
      <c r="B13" s="5" t="s">
        <v>62</v>
      </c>
      <c r="C13" s="45">
        <v>0.17100000000000001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0.13569999999999999</v>
      </c>
    </row>
    <row r="24" spans="1:3" ht="15" customHeight="1" x14ac:dyDescent="0.25">
      <c r="B24" s="15" t="s">
        <v>46</v>
      </c>
      <c r="C24" s="45">
        <v>0.52159999999999995</v>
      </c>
    </row>
    <row r="25" spans="1:3" ht="15" customHeight="1" x14ac:dyDescent="0.25">
      <c r="B25" s="15" t="s">
        <v>47</v>
      </c>
      <c r="C25" s="45">
        <v>0.31040000000000001</v>
      </c>
    </row>
    <row r="26" spans="1:3" ht="15" customHeight="1" x14ac:dyDescent="0.25">
      <c r="B26" s="15" t="s">
        <v>48</v>
      </c>
      <c r="C26" s="45">
        <v>3.2300000000000002E-2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0.35675533525383901</v>
      </c>
    </row>
    <row r="30" spans="1:3" ht="14.25" customHeight="1" x14ac:dyDescent="0.25">
      <c r="B30" s="25" t="s">
        <v>63</v>
      </c>
      <c r="C30" s="99">
        <v>6.5910586704521698E-2</v>
      </c>
    </row>
    <row r="31" spans="1:3" ht="14.25" customHeight="1" x14ac:dyDescent="0.25">
      <c r="B31" s="25" t="s">
        <v>10</v>
      </c>
      <c r="C31" s="99">
        <v>9.262041217609189E-2</v>
      </c>
    </row>
    <row r="32" spans="1:3" ht="14.25" customHeight="1" x14ac:dyDescent="0.25">
      <c r="B32" s="25" t="s">
        <v>11</v>
      </c>
      <c r="C32" s="99">
        <v>0.48471366586554798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9.8257063631263097</v>
      </c>
    </row>
    <row r="38" spans="1:5" ht="15" customHeight="1" x14ac:dyDescent="0.25">
      <c r="B38" s="11" t="s">
        <v>35</v>
      </c>
      <c r="C38" s="43">
        <v>11.925871580367801</v>
      </c>
      <c r="D38" s="12"/>
      <c r="E38" s="13"/>
    </row>
    <row r="39" spans="1:5" ht="15" customHeight="1" x14ac:dyDescent="0.25">
      <c r="B39" s="11" t="s">
        <v>61</v>
      </c>
      <c r="C39" s="43">
        <v>13.8548530156735</v>
      </c>
      <c r="D39" s="12"/>
      <c r="E39" s="12"/>
    </row>
    <row r="40" spans="1:5" ht="15" customHeight="1" x14ac:dyDescent="0.25">
      <c r="B40" s="11" t="s">
        <v>36</v>
      </c>
      <c r="C40" s="100">
        <v>0.8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12.680444530000001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7.6817999999999999E-3</v>
      </c>
      <c r="D45" s="12"/>
    </row>
    <row r="46" spans="1:5" ht="15.75" customHeight="1" x14ac:dyDescent="0.25">
      <c r="B46" s="11" t="s">
        <v>51</v>
      </c>
      <c r="C46" s="45">
        <v>7.7168200000000006E-2</v>
      </c>
      <c r="D46" s="12"/>
    </row>
    <row r="47" spans="1:5" ht="15.75" customHeight="1" x14ac:dyDescent="0.25">
      <c r="B47" s="11" t="s">
        <v>59</v>
      </c>
      <c r="C47" s="45">
        <v>5.8000400000000001E-2</v>
      </c>
      <c r="D47" s="12"/>
      <c r="E47" s="13"/>
    </row>
    <row r="48" spans="1:5" ht="15" customHeight="1" x14ac:dyDescent="0.25">
      <c r="B48" s="11" t="s">
        <v>58</v>
      </c>
      <c r="C48" s="46">
        <v>0.85714960000000007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3.2</v>
      </c>
      <c r="D51" s="12"/>
    </row>
    <row r="52" spans="1:4" ht="15" customHeight="1" x14ac:dyDescent="0.25">
      <c r="B52" s="11" t="s">
        <v>13</v>
      </c>
      <c r="C52" s="100">
        <v>3.2</v>
      </c>
    </row>
    <row r="53" spans="1:4" ht="15.75" customHeight="1" x14ac:dyDescent="0.25">
      <c r="B53" s="11" t="s">
        <v>16</v>
      </c>
      <c r="C53" s="100">
        <v>3.2</v>
      </c>
    </row>
    <row r="54" spans="1:4" ht="15.75" customHeight="1" x14ac:dyDescent="0.25">
      <c r="B54" s="11" t="s">
        <v>14</v>
      </c>
      <c r="C54" s="100">
        <v>3.2</v>
      </c>
    </row>
    <row r="55" spans="1:4" ht="15.75" customHeight="1" x14ac:dyDescent="0.25">
      <c r="B55" s="11" t="s">
        <v>15</v>
      </c>
      <c r="C55" s="100">
        <v>3.2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1.9375E-2</v>
      </c>
    </row>
    <row r="59" spans="1:4" ht="15.75" customHeight="1" x14ac:dyDescent="0.25">
      <c r="B59" s="11" t="s">
        <v>40</v>
      </c>
      <c r="C59" s="45">
        <v>0.55565200000000003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0.14582914999999999</v>
      </c>
    </row>
    <row r="63" spans="1:4" ht="15.75" customHeight="1" x14ac:dyDescent="0.3">
      <c r="A63" s="4"/>
    </row>
  </sheetData>
  <sheetProtection algorithmName="SHA-512" hashValue="YmTQ96OUF2uicYSeknCv6bRyWXHnZdOzL3HwNej8V5u2L2njd83R7mjpsXVkmwDN1UEQtp7kDzfCyon+fKCp+g==" saltValue="6y7WvskoHMgWKSXKMc//E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0.28497346296456899</v>
      </c>
      <c r="C2" s="98">
        <v>0.95</v>
      </c>
      <c r="D2" s="56">
        <v>62.714780124614677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39.985147042964151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487.85757913726337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1.6380998871193979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13.117446486760061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13.117446486760061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13.117446486760061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13.117446486760061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13.117446486760061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13.117446486760061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0.51947832379341097</v>
      </c>
      <c r="C16" s="98">
        <v>0.95</v>
      </c>
      <c r="D16" s="56">
        <v>0.82421228665541357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0.91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11.224756739744929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11.224756739744929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0.28231877088546697</v>
      </c>
      <c r="C21" s="98">
        <v>0.95</v>
      </c>
      <c r="D21" s="56">
        <v>16.982553632802741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22.691717425670902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3.5551428789999999E-2</v>
      </c>
      <c r="C23" s="98">
        <v>0.95</v>
      </c>
      <c r="D23" s="56">
        <v>4.3451295640787793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0.78155029906684503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0.252796295307602</v>
      </c>
      <c r="C27" s="98">
        <v>0.95</v>
      </c>
      <c r="D27" s="56">
        <v>18.676662605887799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0.64137739999999999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124.34168065842491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0.50502277771952597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0.17920549999999999</v>
      </c>
      <c r="C32" s="98">
        <v>0.95</v>
      </c>
      <c r="D32" s="56">
        <v>1.780535588985835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0.87312600170610299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1.723279552412311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/A9y427JBJ4b8M9Hj9y0MKX/d5yFpS1DyIsUqg5ux+9LOwu2I72O0Moro7BlWggXbGTYCDa9hdkDSfx3YyM05g==" saltValue="98QQs77aclcILJ6fRIx7l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zNThEpra7GsXoDledrbiW/FFP18Tu+AIL1nPuOhMLMPqbDY0Ig4MlTNcDeF2c4pf/WgCwGdjla3GPVlJONlwCA==" saltValue="2XhLdvvqLamPgZmjJuBis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XrfnVIMrlxK+aWrjoIntyhxOxLayTlNIch1YW7EDeBGsSbmANMWIMauqIJByJTznsTRQBvWlOQmsaUZF8Avsrw==" saltValue="YmYFqynkgPixuYbpAAZm7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6</v>
      </c>
      <c r="B3" s="21">
        <f>frac_mam_1month * 2.6</f>
        <v>7.4863641746676382E-2</v>
      </c>
      <c r="C3" s="21">
        <f>frac_mam_1_5months * 2.6</f>
        <v>7.4863641746676382E-2</v>
      </c>
      <c r="D3" s="21">
        <f>frac_mam_6_11months * 2.6</f>
        <v>6.9755741869406848E-2</v>
      </c>
      <c r="E3" s="21">
        <f>frac_mam_12_23months * 2.6</f>
        <v>4.5638841189607905E-2</v>
      </c>
      <c r="F3" s="21">
        <f>frac_mam_24_59months * 2.6</f>
        <v>3.388538172207084E-2</v>
      </c>
    </row>
    <row r="4" spans="1:6" ht="15.75" customHeight="1" x14ac:dyDescent="0.25">
      <c r="A4" s="3" t="s">
        <v>207</v>
      </c>
      <c r="B4" s="21">
        <f>frac_sam_1month * 2.6</f>
        <v>4.4444193491540697E-2</v>
      </c>
      <c r="C4" s="21">
        <f>frac_sam_1_5months * 2.6</f>
        <v>4.4444193491540697E-2</v>
      </c>
      <c r="D4" s="21">
        <f>frac_sam_6_11months * 2.6</f>
        <v>2.6641044035594041E-2</v>
      </c>
      <c r="E4" s="21">
        <f>frac_sam_12_23months * 2.6</f>
        <v>1.8187397235948099E-2</v>
      </c>
      <c r="F4" s="21">
        <f>frac_sam_24_59months * 2.6</f>
        <v>1.1642928732624853E-2</v>
      </c>
    </row>
  </sheetData>
  <sheetProtection algorithmName="SHA-512" hashValue="wa5nbsgr0l+qKR2xkYtMbHooJgY9C+dfrWHYQTvySU0+ayTH5dOHPX14fhztZmN0TMHM1E1tdEVxlqiWkGJm4Q==" saltValue="0DPh8Zz6WWtvFXeiyQwO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1.7000000000000001E-2</v>
      </c>
      <c r="E2" s="60">
        <f>food_insecure</f>
        <v>1.7000000000000001E-2</v>
      </c>
      <c r="F2" s="60">
        <f>food_insecure</f>
        <v>1.7000000000000001E-2</v>
      </c>
      <c r="G2" s="60">
        <f>food_insecure</f>
        <v>1.7000000000000001E-2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1.7000000000000001E-2</v>
      </c>
      <c r="F5" s="60">
        <f>food_insecure</f>
        <v>1.7000000000000001E-2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1.7000000000000001E-2</v>
      </c>
      <c r="F8" s="60">
        <f>food_insecure</f>
        <v>1.7000000000000001E-2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1.7000000000000001E-2</v>
      </c>
      <c r="F9" s="60">
        <f>food_insecure</f>
        <v>1.7000000000000001E-2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0.82299999999999995</v>
      </c>
      <c r="E10" s="60">
        <f>IF(ISBLANK(comm_deliv), frac_children_health_facility,1)</f>
        <v>0.82299999999999995</v>
      </c>
      <c r="F10" s="60">
        <f>IF(ISBLANK(comm_deliv), frac_children_health_facility,1)</f>
        <v>0.82299999999999995</v>
      </c>
      <c r="G10" s="60">
        <f>IF(ISBLANK(comm_deliv), frac_children_health_facility,1)</f>
        <v>0.82299999999999995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1.7000000000000001E-2</v>
      </c>
      <c r="I15" s="60">
        <f>food_insecure</f>
        <v>1.7000000000000001E-2</v>
      </c>
      <c r="J15" s="60">
        <f>food_insecure</f>
        <v>1.7000000000000001E-2</v>
      </c>
      <c r="K15" s="60">
        <f>food_insecure</f>
        <v>1.7000000000000001E-2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0.85599999999999998</v>
      </c>
      <c r="I18" s="60">
        <f>frac_PW_health_facility</f>
        <v>0.85599999999999998</v>
      </c>
      <c r="J18" s="60">
        <f>frac_PW_health_facility</f>
        <v>0.85599999999999998</v>
      </c>
      <c r="K18" s="60">
        <f>frac_PW_health_facility</f>
        <v>0.85599999999999998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0.17100000000000001</v>
      </c>
      <c r="M24" s="60">
        <f>famplan_unmet_need</f>
        <v>0.17100000000000001</v>
      </c>
      <c r="N24" s="60">
        <f>famplan_unmet_need</f>
        <v>0.17100000000000001</v>
      </c>
      <c r="O24" s="60">
        <f>famplan_unmet_need</f>
        <v>0.17100000000000001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0.11162494950408915</v>
      </c>
      <c r="M25" s="60">
        <f>(1-food_insecure)*(0.49)+food_insecure*(0.7)</f>
        <v>0.49357000000000001</v>
      </c>
      <c r="N25" s="60">
        <f>(1-food_insecure)*(0.49)+food_insecure*(0.7)</f>
        <v>0.49357000000000001</v>
      </c>
      <c r="O25" s="60">
        <f>(1-food_insecure)*(0.49)+food_insecure*(0.7)</f>
        <v>0.49357000000000001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4.7839264073181065E-2</v>
      </c>
      <c r="M26" s="60">
        <f>(1-food_insecure)*(0.21)+food_insecure*(0.3)</f>
        <v>0.21153</v>
      </c>
      <c r="N26" s="60">
        <f>(1-food_insecure)*(0.21)+food_insecure*(0.3)</f>
        <v>0.21153</v>
      </c>
      <c r="O26" s="60">
        <f>(1-food_insecure)*(0.21)+food_insecure*(0.3)</f>
        <v>0.21153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6.6694081100463751E-2</v>
      </c>
      <c r="M27" s="60">
        <f>(1-food_insecure)*(0.3)</f>
        <v>0.2949</v>
      </c>
      <c r="N27" s="60">
        <f>(1-food_insecure)*(0.3)</f>
        <v>0.2949</v>
      </c>
      <c r="O27" s="60">
        <f>(1-food_insecure)*(0.3)</f>
        <v>0.2949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0.77384170532226604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hK3vrZqC8zCGUH+DRQNZaM3hah0tpkDoMVr8j0aDeFvhjkeQd9dT8jiwdXg5tJc7cEBbmaZKhFz24DfuT4yNQg==" saltValue="LJYG5q2YqzlDetozm8COV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Ys6C7hEFVMBotfLZxGlGiiXysTytx4rDbGzx3iZAXO/99NH2UF4l507e71Hd3ELQCCfwrktxHpCEaJc3fcxNfQ==" saltValue="+IRD7Hbem/nkKjOJYfUmM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sCw0ZhH5nz/J8V4HCs+EaxpzfEt9OdmF2R1s873brbBT5p7wcFg8osdDWuqvR/nA53fS/1qh5LKyt2AmYziqrg==" saltValue="qeNYXK8BQdLHlc7eWTyQ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2x1nIYzYvIBNSRtqMd8pXAuvw7TQIPtzbk/no2zPRDqLQysA6LyXeDFJd9umqlEJDJwnWdyDAwEbsGa6zPuT+g==" saltValue="ATqr8/QH4jqKAbhuBRRhJ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b0FEE6VDv6wrqGArngsmvTFqAwJRmrxuQERkLropPXA13jBe8sNZtQMu8+1zocZKqcg9XBjeLd2VOqxs9z++6Q==" saltValue="LNNZejqvxecE6V8qxZK1K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FifoaSHHVc1BPSgAZYSusbNlm929K4WM9j4xI1fotWsQHxtsLQmjpckLSaeFlfPz3qF3O1q8v7hhUOnCnlG8bQ==" saltValue="mLA/R5BVTkjkj5+bpkZcY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44954.3514</v>
      </c>
      <c r="C2" s="49">
        <v>110000</v>
      </c>
      <c r="D2" s="49">
        <v>245000</v>
      </c>
      <c r="E2" s="49">
        <v>222000</v>
      </c>
      <c r="F2" s="49">
        <v>183000</v>
      </c>
      <c r="G2" s="17">
        <f t="shared" ref="G2:G11" si="0">C2+D2+E2+F2</f>
        <v>760000</v>
      </c>
      <c r="H2" s="17">
        <f t="shared" ref="H2:H11" si="1">(B2 + stillbirth*B2/(1000-stillbirth))/(1-abortion)</f>
        <v>51740.583830485004</v>
      </c>
      <c r="I2" s="17">
        <f t="shared" ref="I2:I11" si="2">G2-H2</f>
        <v>708259.416169515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44135.440799999997</v>
      </c>
      <c r="C3" s="50">
        <v>108000</v>
      </c>
      <c r="D3" s="50">
        <v>240000</v>
      </c>
      <c r="E3" s="50">
        <v>224000</v>
      </c>
      <c r="F3" s="50">
        <v>185000</v>
      </c>
      <c r="G3" s="17">
        <f t="shared" si="0"/>
        <v>757000</v>
      </c>
      <c r="H3" s="17">
        <f t="shared" si="1"/>
        <v>50798.051879084793</v>
      </c>
      <c r="I3" s="17">
        <f t="shared" si="2"/>
        <v>706201.94812091521</v>
      </c>
    </row>
    <row r="4" spans="1:9" ht="15.75" customHeight="1" x14ac:dyDescent="0.25">
      <c r="A4" s="5">
        <f t="shared" si="3"/>
        <v>2023</v>
      </c>
      <c r="B4" s="49">
        <v>43298.678399999997</v>
      </c>
      <c r="C4" s="50">
        <v>106000</v>
      </c>
      <c r="D4" s="50">
        <v>234000</v>
      </c>
      <c r="E4" s="50">
        <v>224000</v>
      </c>
      <c r="F4" s="50">
        <v>188000</v>
      </c>
      <c r="G4" s="17">
        <f t="shared" si="0"/>
        <v>752000</v>
      </c>
      <c r="H4" s="17">
        <f t="shared" si="1"/>
        <v>49834.973250318333</v>
      </c>
      <c r="I4" s="17">
        <f t="shared" si="2"/>
        <v>702165.02674968168</v>
      </c>
    </row>
    <row r="5" spans="1:9" ht="15.75" customHeight="1" x14ac:dyDescent="0.25">
      <c r="A5" s="5">
        <f t="shared" si="3"/>
        <v>2024</v>
      </c>
      <c r="B5" s="49">
        <v>42459.464800000002</v>
      </c>
      <c r="C5" s="50">
        <v>105000</v>
      </c>
      <c r="D5" s="50">
        <v>228000</v>
      </c>
      <c r="E5" s="50">
        <v>226000</v>
      </c>
      <c r="F5" s="50">
        <v>191000</v>
      </c>
      <c r="G5" s="17">
        <f t="shared" si="0"/>
        <v>750000</v>
      </c>
      <c r="H5" s="17">
        <f t="shared" si="1"/>
        <v>48869.073392568789</v>
      </c>
      <c r="I5" s="17">
        <f t="shared" si="2"/>
        <v>701130.92660743126</v>
      </c>
    </row>
    <row r="6" spans="1:9" ht="15.75" customHeight="1" x14ac:dyDescent="0.25">
      <c r="A6" s="5">
        <f t="shared" si="3"/>
        <v>2025</v>
      </c>
      <c r="B6" s="49">
        <v>41589.449999999997</v>
      </c>
      <c r="C6" s="50">
        <v>104000</v>
      </c>
      <c r="D6" s="50">
        <v>221000</v>
      </c>
      <c r="E6" s="50">
        <v>225000</v>
      </c>
      <c r="F6" s="50">
        <v>193000</v>
      </c>
      <c r="G6" s="17">
        <f t="shared" si="0"/>
        <v>743000</v>
      </c>
      <c r="H6" s="17">
        <f t="shared" si="1"/>
        <v>47867.722638052888</v>
      </c>
      <c r="I6" s="17">
        <f t="shared" si="2"/>
        <v>695132.27736194711</v>
      </c>
    </row>
    <row r="7" spans="1:9" ht="15.75" customHeight="1" x14ac:dyDescent="0.25">
      <c r="A7" s="5">
        <f t="shared" si="3"/>
        <v>2026</v>
      </c>
      <c r="B7" s="49">
        <v>40740.523200000003</v>
      </c>
      <c r="C7" s="50">
        <v>101000</v>
      </c>
      <c r="D7" s="50">
        <v>214000</v>
      </c>
      <c r="E7" s="50">
        <v>226000</v>
      </c>
      <c r="F7" s="50">
        <v>197000</v>
      </c>
      <c r="G7" s="17">
        <f t="shared" si="0"/>
        <v>738000</v>
      </c>
      <c r="H7" s="17">
        <f t="shared" si="1"/>
        <v>46890.643292151239</v>
      </c>
      <c r="I7" s="17">
        <f t="shared" si="2"/>
        <v>691109.35670784872</v>
      </c>
    </row>
    <row r="8" spans="1:9" ht="15.75" customHeight="1" x14ac:dyDescent="0.25">
      <c r="A8" s="5">
        <f t="shared" si="3"/>
        <v>2027</v>
      </c>
      <c r="B8" s="49">
        <v>39863.246400000004</v>
      </c>
      <c r="C8" s="50">
        <v>98000</v>
      </c>
      <c r="D8" s="50">
        <v>208000</v>
      </c>
      <c r="E8" s="50">
        <v>227000</v>
      </c>
      <c r="F8" s="50">
        <v>198000</v>
      </c>
      <c r="G8" s="17">
        <f t="shared" si="0"/>
        <v>731000</v>
      </c>
      <c r="H8" s="17">
        <f t="shared" si="1"/>
        <v>45880.934278466302</v>
      </c>
      <c r="I8" s="17">
        <f t="shared" si="2"/>
        <v>685119.06572153373</v>
      </c>
    </row>
    <row r="9" spans="1:9" ht="15.75" customHeight="1" x14ac:dyDescent="0.25">
      <c r="A9" s="5">
        <f t="shared" si="3"/>
        <v>2028</v>
      </c>
      <c r="B9" s="49">
        <v>38985.969599999997</v>
      </c>
      <c r="C9" s="50">
        <v>95000</v>
      </c>
      <c r="D9" s="50">
        <v>202000</v>
      </c>
      <c r="E9" s="50">
        <v>226000</v>
      </c>
      <c r="F9" s="50">
        <v>201000</v>
      </c>
      <c r="G9" s="17">
        <f t="shared" si="0"/>
        <v>724000</v>
      </c>
      <c r="H9" s="17">
        <f t="shared" si="1"/>
        <v>44871.225264781373</v>
      </c>
      <c r="I9" s="17">
        <f t="shared" si="2"/>
        <v>679128.77473521861</v>
      </c>
    </row>
    <row r="10" spans="1:9" ht="15.75" customHeight="1" x14ac:dyDescent="0.25">
      <c r="A10" s="5">
        <f t="shared" si="3"/>
        <v>2029</v>
      </c>
      <c r="B10" s="49">
        <v>38095.713000000003</v>
      </c>
      <c r="C10" s="50">
        <v>93000</v>
      </c>
      <c r="D10" s="50">
        <v>196000</v>
      </c>
      <c r="E10" s="50">
        <v>225000</v>
      </c>
      <c r="F10" s="50">
        <v>203000</v>
      </c>
      <c r="G10" s="17">
        <f t="shared" si="0"/>
        <v>717000</v>
      </c>
      <c r="H10" s="17">
        <f t="shared" si="1"/>
        <v>43846.577042564066</v>
      </c>
      <c r="I10" s="17">
        <f t="shared" si="2"/>
        <v>673153.42295743595</v>
      </c>
    </row>
    <row r="11" spans="1:9" ht="15.75" customHeight="1" x14ac:dyDescent="0.25">
      <c r="A11" s="5">
        <f t="shared" si="3"/>
        <v>2030</v>
      </c>
      <c r="B11" s="49">
        <v>37193.373</v>
      </c>
      <c r="C11" s="50">
        <v>93000</v>
      </c>
      <c r="D11" s="50">
        <v>190000</v>
      </c>
      <c r="E11" s="50">
        <v>222000</v>
      </c>
      <c r="F11" s="50">
        <v>205000</v>
      </c>
      <c r="G11" s="17">
        <f t="shared" si="0"/>
        <v>710000</v>
      </c>
      <c r="H11" s="17">
        <f t="shared" si="1"/>
        <v>42808.021330833784</v>
      </c>
      <c r="I11" s="17">
        <f t="shared" si="2"/>
        <v>667191.97866916622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znGPTMSpkbCjm2E7lSE8s2Ip6kkmPQeiobPOPHSnkjVUjl6j+V4HgSM0kbwV4aooyChm+1tnWsM4H1rKqYUvEQ==" saltValue="zLJ6nQXZ1iAFpfxLgxClw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2.9665956661856061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2.9665956661856061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1.7773033852034361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1.7773033852034361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1.9949737984074802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1.9949737984074802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1.4903984847535079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1.4903984847535079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5.0854614313031545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5.0854614313031545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2.1276990846005197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2.1276990846005197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TSGECeIxX6OiqvCpBA4rhKt14usIb1HOok9XpcdH5ghh7vqRjajIQjI/IyGiQqLyfWNn+3Oow+wYLIW6c2wlRw==" saltValue="VpnVEZsQx0ESGUup940Wq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XecnzToLetxiWBUG7eUQ3+In8zFplBdeJcclVD5sKT3VMNSx1xq8I4t54DzLLQaL11x15CcJA+F2zUg4GON93A==" saltValue="OMJVBKmwuEzwMwNseG54Y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ma36U1qcz2nMBYNqWzJ5tK2/7CIFA3shg037QVl2HhOMO61+4wb09N5BbdvKjlLKehiNO9/w97qs4nSkVVGnug==" saltValue="4A1SQKGND1FWq9VFK1I4/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0.60684537110640502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0.57829662766351819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0.86426054963648624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0.84977670516400794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0.86426054963648624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0.84977670516400794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0.40553487468969224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0.377366446817888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0.83108099734609786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0.81381945799302158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0.83108099734609786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0.81381945799302158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0.90896428608322555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0.89869133309827343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0.89773815505903243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0.88635676953767151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0.89773815505903243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0.88635676953767151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Sex6kMtYkF+2pYKDT0hyJiHJmnzqXWTqOYFU+nMWCuMiH0kLXTsUMvYoehhl622D0vQPcD9eMlPZFzRY9Zhczw==" saltValue="EE+G44qme0KZ4bCGfrrMF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DWV5aJo3LQSwLkB3LGv+Xr2mPfiBj+rdOsyn2CH/DAZUOT9sAHcA9kgicy1VXO0KkeqobhxaVNEqwGRRQ0DtTA==" saltValue="obTbW4QEA1bvH/ORy1aXY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0.59427329795026362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0.63635547416911631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0.63635547416911631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0.65243296921549165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0.65243296921549165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0.65243296921549165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0.65243296921549165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0.66615795497901575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0.66615795497901575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0.66615795497901575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0.66615795497901575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0.69497715055556031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0.73133635323933222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0.73133635323933222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0.74489795918367352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0.74489795918367352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0.74489795918367352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0.74489795918367352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0.7563352826510723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0.7563352826510723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0.7563352826510723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0.7563352826510723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0.40072157838219874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0.44410005348801984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0.44410005348801984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0.46148442987590732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0.46148442987590732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0.46148442987590732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0.46148442987590732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0.47670185657080455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0.47670185657080455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0.47670185657080455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0.47670185657080455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0.57064807729398681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0.61358734369426593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0.61358734369426593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0.6300863131935881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0.6300863131935881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0.6300863131935881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0.6300863131935881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0.64421252371916515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0.64421252371916515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0.64421252371916515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0.64421252371916515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0.94849983514461489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0.9565290223945967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0.9565290223945967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0.95935510093483278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0.95935510093483278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0.95935510093483278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0.95935510093483278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0.96167211774325434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0.96167211774325434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0.96167211774325434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0.96167211774325434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0.86755885000510224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0.88669983965483212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0.88669983965483212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0.89356040447046314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0.89356040447046314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0.89356040447046314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0.89356040447046314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0.89923417976622355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0.89923417976622355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0.89923417976622355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0.89923417976622355</v>
      </c>
    </row>
  </sheetData>
  <sheetProtection algorithmName="SHA-512" hashValue="t9A9LgfX6U4gOkMFelSSJJukfCma5v/BOHF4DIJKyyGpUiwTe9NRuAtdcFOh3utpkc11K1wdimbJQ86OmQrt7w==" saltValue="MCAl0a2HS8IddBtFzXCNy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0.74864919496435545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0.74995329517810427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0.7505678072955031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0.7510414671906076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0.74638917585841058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0.74677150328194242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0.74856119851653879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0.74942427586389926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0.64541477160337113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0.64700193883818913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0.64775062454608012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0.64832804908547426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0.64266956603559033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0.6431334945463888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0.64530775650043393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0.64635781709269713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0.86000599447304527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0.86083972981230927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0.86123215319848934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0.86153443477858238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0.85855807098755077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0.85880328867778466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0.85994969037145486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0.8605016730576821</v>
      </c>
    </row>
  </sheetData>
  <sheetProtection algorithmName="SHA-512" hashValue="9FehVJ8Ps6JFRLg4GhwlfQYzrrxMHMzHdrzZaprli3gp/ytmAVA67zIiehqpRsEphhqw/RpxVIvwDxfjmnO1yA==" saltValue="v+iBUyyJlEGx7e1SuFLZY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b46JczVzQrnMrAj1r8sZoHlz9EA7wYfzFBj+WcJX4O1D+cRoeCg8tIR/g66QDrSG1QR66mBOVX1J/QnnSHBYSA==" saltValue="HF8gMBjfsVUlqm3cyIQgi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JSEj9eVhu0neh3ZLb3nyV/djtFdSDhkOh9RbNhO6tTU+3wbcNV+Xr05M2+WC/BqQk+cA0WLh2QiUJYQs0Gs82g==" saltValue="P0rQH+HPiGszht/K2cFhG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0.1226077580692773</v>
      </c>
    </row>
    <row r="5" spans="1:8" ht="15.75" customHeight="1" x14ac:dyDescent="0.25">
      <c r="B5" s="19" t="s">
        <v>95</v>
      </c>
      <c r="C5" s="101">
        <v>2.5395329614007148E-2</v>
      </c>
    </row>
    <row r="6" spans="1:8" ht="15.75" customHeight="1" x14ac:dyDescent="0.25">
      <c r="B6" s="19" t="s">
        <v>91</v>
      </c>
      <c r="C6" s="101">
        <v>0.1502841983793031</v>
      </c>
    </row>
    <row r="7" spans="1:8" ht="15.75" customHeight="1" x14ac:dyDescent="0.25">
      <c r="B7" s="19" t="s">
        <v>96</v>
      </c>
      <c r="C7" s="101">
        <v>0.52967285218759075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0.1324440963648216</v>
      </c>
    </row>
    <row r="10" spans="1:8" ht="15.75" customHeight="1" x14ac:dyDescent="0.25">
      <c r="B10" s="19" t="s">
        <v>94</v>
      </c>
      <c r="C10" s="101">
        <v>3.9595765385000183E-2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4.4275455884463411E-2</v>
      </c>
      <c r="D14" s="55">
        <v>4.4275455884463411E-2</v>
      </c>
      <c r="E14" s="55">
        <v>4.4275455884463411E-2</v>
      </c>
      <c r="F14" s="55">
        <v>4.4275455884463411E-2</v>
      </c>
    </row>
    <row r="15" spans="1:8" ht="15.75" customHeight="1" x14ac:dyDescent="0.25">
      <c r="B15" s="19" t="s">
        <v>102</v>
      </c>
      <c r="C15" s="101">
        <v>8.4056259517005377E-2</v>
      </c>
      <c r="D15" s="101">
        <v>8.4056259517005377E-2</v>
      </c>
      <c r="E15" s="101">
        <v>8.4056259517005377E-2</v>
      </c>
      <c r="F15" s="101">
        <v>8.4056259517005377E-2</v>
      </c>
    </row>
    <row r="16" spans="1:8" ht="15.75" customHeight="1" x14ac:dyDescent="0.25">
      <c r="B16" s="19" t="s">
        <v>2</v>
      </c>
      <c r="C16" s="101">
        <v>8.9902894929537926E-3</v>
      </c>
      <c r="D16" s="101">
        <v>8.9902894929537926E-3</v>
      </c>
      <c r="E16" s="101">
        <v>8.9902894929537926E-3</v>
      </c>
      <c r="F16" s="101">
        <v>8.9902894929537926E-3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3.1473999141456453E-2</v>
      </c>
      <c r="D19" s="101">
        <v>3.1473999141456453E-2</v>
      </c>
      <c r="E19" s="101">
        <v>3.1473999141456453E-2</v>
      </c>
      <c r="F19" s="101">
        <v>3.1473999141456453E-2</v>
      </c>
    </row>
    <row r="20" spans="1:8" ht="15.75" customHeight="1" x14ac:dyDescent="0.25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3.0167311210068021E-2</v>
      </c>
      <c r="D21" s="101">
        <v>3.0167311210068021E-2</v>
      </c>
      <c r="E21" s="101">
        <v>3.0167311210068021E-2</v>
      </c>
      <c r="F21" s="101">
        <v>3.0167311210068021E-2</v>
      </c>
    </row>
    <row r="22" spans="1:8" ht="15.75" customHeight="1" x14ac:dyDescent="0.25">
      <c r="B22" s="19" t="s">
        <v>99</v>
      </c>
      <c r="C22" s="101">
        <v>0.80103668475405299</v>
      </c>
      <c r="D22" s="101">
        <v>0.80103668475405299</v>
      </c>
      <c r="E22" s="101">
        <v>0.80103668475405299</v>
      </c>
      <c r="F22" s="101">
        <v>0.80103668475405299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2.9141097000000001E-2</v>
      </c>
    </row>
    <row r="27" spans="1:8" ht="15.75" customHeight="1" x14ac:dyDescent="0.25">
      <c r="B27" s="19" t="s">
        <v>89</v>
      </c>
      <c r="C27" s="101">
        <v>1.0659604E-2</v>
      </c>
    </row>
    <row r="28" spans="1:8" ht="15.75" customHeight="1" x14ac:dyDescent="0.25">
      <c r="B28" s="19" t="s">
        <v>103</v>
      </c>
      <c r="C28" s="101">
        <v>5.3942014000000003E-2</v>
      </c>
    </row>
    <row r="29" spans="1:8" ht="15.75" customHeight="1" x14ac:dyDescent="0.25">
      <c r="B29" s="19" t="s">
        <v>86</v>
      </c>
      <c r="C29" s="101">
        <v>0.132460157</v>
      </c>
    </row>
    <row r="30" spans="1:8" ht="15.75" customHeight="1" x14ac:dyDescent="0.25">
      <c r="B30" s="19" t="s">
        <v>4</v>
      </c>
      <c r="C30" s="101">
        <v>4.2099428000000001E-2</v>
      </c>
    </row>
    <row r="31" spans="1:8" ht="15.75" customHeight="1" x14ac:dyDescent="0.25">
      <c r="B31" s="19" t="s">
        <v>80</v>
      </c>
      <c r="C31" s="101">
        <v>9.6696056000000002E-2</v>
      </c>
    </row>
    <row r="32" spans="1:8" ht="15.75" customHeight="1" x14ac:dyDescent="0.25">
      <c r="B32" s="19" t="s">
        <v>85</v>
      </c>
      <c r="C32" s="101">
        <v>6.3757143000000002E-2</v>
      </c>
    </row>
    <row r="33" spans="2:3" ht="15.75" customHeight="1" x14ac:dyDescent="0.25">
      <c r="B33" s="19" t="s">
        <v>100</v>
      </c>
      <c r="C33" s="101">
        <v>0.12090500699999999</v>
      </c>
    </row>
    <row r="34" spans="2:3" ht="15.75" customHeight="1" x14ac:dyDescent="0.25">
      <c r="B34" s="19" t="s">
        <v>87</v>
      </c>
      <c r="C34" s="101">
        <v>0.45033949200000001</v>
      </c>
    </row>
    <row r="35" spans="2:3" ht="15.75" customHeight="1" x14ac:dyDescent="0.25">
      <c r="B35" s="27" t="s">
        <v>60</v>
      </c>
      <c r="C35" s="48">
        <f>SUM(C26:C34)</f>
        <v>0.99999999799999995</v>
      </c>
    </row>
  </sheetData>
  <sheetProtection algorithmName="SHA-512" hashValue="DdOwn6k9yBeMCfaJf4//rkfuFIVy63Yl2HGjhLqrmG+Y1fi9c1NUfg7rOij8XQfBrYlaZn3I30woRcB9rIeqmQ==" saltValue="tVvKyezMgT3WDqvGtsGZq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0.57407130512757754</v>
      </c>
      <c r="D2" s="52">
        <f>IFERROR(1-_xlfn.NORM.DIST(_xlfn.NORM.INV(SUM(D4:D5), 0, 1) + 1, 0, 1, TRUE), "")</f>
        <v>0.57407130512757754</v>
      </c>
      <c r="E2" s="52">
        <f>IFERROR(1-_xlfn.NORM.DIST(_xlfn.NORM.INV(SUM(E4:E5), 0, 1) + 1, 0, 1, TRUE), "")</f>
        <v>0.54700007270029372</v>
      </c>
      <c r="F2" s="52">
        <f>IFERROR(1-_xlfn.NORM.DIST(_xlfn.NORM.INV(SUM(F4:F5), 0, 1) + 1, 0, 1, TRUE), "")</f>
        <v>0.39873837196518114</v>
      </c>
      <c r="G2" s="52">
        <f>IFERROR(1-_xlfn.NORM.DIST(_xlfn.NORM.INV(SUM(G4:G5), 0, 1) + 1, 0, 1, TRUE), "")</f>
        <v>0.40761746028673129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0.30826538590222607</v>
      </c>
      <c r="D3" s="52">
        <f>IFERROR(_xlfn.NORM.DIST(_xlfn.NORM.INV(SUM(D4:D5), 0, 1) + 1, 0, 1, TRUE) - SUM(D4:D5), "")</f>
        <v>0.30826538590222607</v>
      </c>
      <c r="E3" s="52">
        <f>IFERROR(_xlfn.NORM.DIST(_xlfn.NORM.INV(SUM(E4:E5), 0, 1) + 1, 0, 1, TRUE) - SUM(E4:E5), "")</f>
        <v>0.32123470354530753</v>
      </c>
      <c r="F3" s="52">
        <f>IFERROR(_xlfn.NORM.DIST(_xlfn.NORM.INV(SUM(F4:F5), 0, 1) + 1, 0, 1, TRUE) - SUM(F4:F5), "")</f>
        <v>0.37263761030032166</v>
      </c>
      <c r="G3" s="52">
        <f>IFERROR(_xlfn.NORM.DIST(_xlfn.NORM.INV(SUM(G4:G5), 0, 1) + 1, 0, 1, TRUE) - SUM(G4:G5), "")</f>
        <v>0.37064015583398641</v>
      </c>
    </row>
    <row r="4" spans="1:15" ht="15.75" customHeight="1" x14ac:dyDescent="0.25">
      <c r="B4" s="5" t="s">
        <v>110</v>
      </c>
      <c r="C4" s="45">
        <v>7.7066712124662401E-2</v>
      </c>
      <c r="D4" s="53">
        <v>7.7066712124662401E-2</v>
      </c>
      <c r="E4" s="53">
        <v>9.6537371135483094E-2</v>
      </c>
      <c r="F4" s="53">
        <v>0.154515657154602</v>
      </c>
      <c r="G4" s="53">
        <v>0.1536915783434</v>
      </c>
    </row>
    <row r="5" spans="1:15" ht="15.75" customHeight="1" x14ac:dyDescent="0.25">
      <c r="B5" s="5" t="s">
        <v>106</v>
      </c>
      <c r="C5" s="45">
        <v>4.0596596845534003E-2</v>
      </c>
      <c r="D5" s="53">
        <v>4.0596596845534003E-2</v>
      </c>
      <c r="E5" s="53">
        <v>3.52278526189157E-2</v>
      </c>
      <c r="F5" s="53">
        <v>7.4108360579895199E-2</v>
      </c>
      <c r="G5" s="53">
        <v>6.8050805535882303E-2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0.75367707358044445</v>
      </c>
      <c r="D8" s="52">
        <f>IFERROR(1-_xlfn.NORM.DIST(_xlfn.NORM.INV(SUM(D10:D11), 0, 1) + 1, 0, 1, TRUE), "")</f>
        <v>0.75367707358044445</v>
      </c>
      <c r="E8" s="52">
        <f>IFERROR(1-_xlfn.NORM.DIST(_xlfn.NORM.INV(SUM(E10:E11), 0, 1) + 1, 0, 1, TRUE), "")</f>
        <v>0.78397198700179249</v>
      </c>
      <c r="F8" s="52">
        <f>IFERROR(1-_xlfn.NORM.DIST(_xlfn.NORM.INV(SUM(F10:F11), 0, 1) + 1, 0, 1, TRUE), "")</f>
        <v>0.83341473595774673</v>
      </c>
      <c r="G8" s="52">
        <f>IFERROR(1-_xlfn.NORM.DIST(_xlfn.NORM.INV(SUM(G10:G11), 0, 1) + 1, 0, 1, TRUE), "")</f>
        <v>0.86609209058222447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0.20043529748177974</v>
      </c>
      <c r="D9" s="52">
        <f>IFERROR(_xlfn.NORM.DIST(_xlfn.NORM.INV(SUM(D10:D11), 0, 1) + 1, 0, 1, TRUE) - SUM(D10:D11), "")</f>
        <v>0.20043529748177974</v>
      </c>
      <c r="E9" s="52">
        <f>IFERROR(_xlfn.NORM.DIST(_xlfn.NORM.INV(SUM(E10:E11), 0, 1) + 1, 0, 1, TRUE) - SUM(E10:E11), "")</f>
        <v>0.17895232611166867</v>
      </c>
      <c r="F9" s="52">
        <f>IFERROR(_xlfn.NORM.DIST(_xlfn.NORM.INV(SUM(F10:F11), 0, 1) + 1, 0, 1, TRUE) - SUM(F10:F11), "")</f>
        <v>0.14203671080165478</v>
      </c>
      <c r="G9" s="52">
        <f>IFERROR(_xlfn.NORM.DIST(_xlfn.NORM.INV(SUM(G10:G11), 0, 1) + 1, 0, 1, TRUE) - SUM(G10:G11), "")</f>
        <v>0.11639702078135408</v>
      </c>
    </row>
    <row r="10" spans="1:15" ht="15.75" customHeight="1" x14ac:dyDescent="0.25">
      <c r="B10" s="5" t="s">
        <v>107</v>
      </c>
      <c r="C10" s="45">
        <v>2.8793708364106298E-2</v>
      </c>
      <c r="D10" s="53">
        <v>2.8793708364106298E-2</v>
      </c>
      <c r="E10" s="53">
        <v>2.6829131488233401E-2</v>
      </c>
      <c r="F10" s="53">
        <v>1.7553400457541501E-2</v>
      </c>
      <c r="G10" s="53">
        <v>1.30328391238734E-2</v>
      </c>
    </row>
    <row r="11" spans="1:15" ht="15.75" customHeight="1" x14ac:dyDescent="0.25">
      <c r="B11" s="5" t="s">
        <v>119</v>
      </c>
      <c r="C11" s="45">
        <v>1.7093920573669499E-2</v>
      </c>
      <c r="D11" s="53">
        <v>1.7093920573669499E-2</v>
      </c>
      <c r="E11" s="53">
        <v>1.02465553983054E-2</v>
      </c>
      <c r="F11" s="53">
        <v>6.9951527830569614E-3</v>
      </c>
      <c r="G11" s="53">
        <v>4.4780495125480201E-3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0.45710734074999998</v>
      </c>
      <c r="D14" s="54">
        <v>0.43038927098300001</v>
      </c>
      <c r="E14" s="54">
        <v>0.43038927098300001</v>
      </c>
      <c r="F14" s="54">
        <v>0.31946844869300001</v>
      </c>
      <c r="G14" s="54">
        <v>0.31946844869300001</v>
      </c>
      <c r="H14" s="45">
        <v>0.27</v>
      </c>
      <c r="I14" s="55">
        <v>0.27</v>
      </c>
      <c r="J14" s="55">
        <v>0.27</v>
      </c>
      <c r="K14" s="55">
        <v>0.27</v>
      </c>
      <c r="L14" s="45">
        <v>0.224</v>
      </c>
      <c r="M14" s="55">
        <v>0.224</v>
      </c>
      <c r="N14" s="55">
        <v>0.224</v>
      </c>
      <c r="O14" s="55">
        <v>0.224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0.25399260810241903</v>
      </c>
      <c r="D15" s="52">
        <f t="shared" si="0"/>
        <v>0.23914665920024594</v>
      </c>
      <c r="E15" s="52">
        <f t="shared" si="0"/>
        <v>0.23914665920024594</v>
      </c>
      <c r="F15" s="52">
        <f t="shared" si="0"/>
        <v>0.17751328245316286</v>
      </c>
      <c r="G15" s="52">
        <f t="shared" si="0"/>
        <v>0.17751328245316286</v>
      </c>
      <c r="H15" s="52">
        <f t="shared" si="0"/>
        <v>0.15002604000000003</v>
      </c>
      <c r="I15" s="52">
        <f t="shared" si="0"/>
        <v>0.15002604000000003</v>
      </c>
      <c r="J15" s="52">
        <f t="shared" si="0"/>
        <v>0.15002604000000003</v>
      </c>
      <c r="K15" s="52">
        <f t="shared" si="0"/>
        <v>0.15002604000000003</v>
      </c>
      <c r="L15" s="52">
        <f t="shared" si="0"/>
        <v>0.12446604800000001</v>
      </c>
      <c r="M15" s="52">
        <f t="shared" si="0"/>
        <v>0.12446604800000001</v>
      </c>
      <c r="N15" s="52">
        <f t="shared" si="0"/>
        <v>0.12446604800000001</v>
      </c>
      <c r="O15" s="52">
        <f t="shared" si="0"/>
        <v>0.12446604800000001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dgZPKdKNMPAXXNOsuHaeC6XqjbfYuV0Y7IR2713RFQa3LxQ6i9FreG5gBrVucxdX5cwDZaAW3bpaYvjdlv+nmA==" saltValue="8NCzMOQpgU7aTTwCmvZ9j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0.45848971605300898</v>
      </c>
      <c r="D2" s="53">
        <v>0.17920549999999999</v>
      </c>
      <c r="E2" s="53"/>
      <c r="F2" s="53"/>
      <c r="G2" s="53"/>
    </row>
    <row r="3" spans="1:7" x14ac:dyDescent="0.25">
      <c r="B3" s="3" t="s">
        <v>127</v>
      </c>
      <c r="C3" s="53">
        <v>0.181101709604263</v>
      </c>
      <c r="D3" s="53">
        <v>0.18662980000000001</v>
      </c>
      <c r="E3" s="53"/>
      <c r="F3" s="53"/>
      <c r="G3" s="53"/>
    </row>
    <row r="4" spans="1:7" x14ac:dyDescent="0.25">
      <c r="B4" s="3" t="s">
        <v>126</v>
      </c>
      <c r="C4" s="53">
        <v>0.27453681826591497</v>
      </c>
      <c r="D4" s="53">
        <v>0.54415389999999997</v>
      </c>
      <c r="E4" s="53">
        <v>0.69400054216384899</v>
      </c>
      <c r="F4" s="53">
        <v>0.37669947743415799</v>
      </c>
      <c r="G4" s="53"/>
    </row>
    <row r="5" spans="1:7" x14ac:dyDescent="0.25">
      <c r="B5" s="3" t="s">
        <v>125</v>
      </c>
      <c r="C5" s="52">
        <v>8.5871763527393299E-2</v>
      </c>
      <c r="D5" s="52">
        <v>9.0010762214660589E-2</v>
      </c>
      <c r="E5" s="52">
        <f>1-SUM(E2:E4)</f>
        <v>0.30599945783615101</v>
      </c>
      <c r="F5" s="52">
        <f>1-SUM(F2:F4)</f>
        <v>0.62330052256584201</v>
      </c>
      <c r="G5" s="52">
        <f>1-SUM(G2:G4)</f>
        <v>1</v>
      </c>
    </row>
  </sheetData>
  <sheetProtection algorithmName="SHA-512" hashValue="Ied7zXKGQi9I7XbLswFTufD9Dn43frPXVvFzWyjk4/6gCzjjFjKxlLB7Goy94uMvQXfCFfB1tCyygXxeVqJxLw==" saltValue="d0A8qltwRPq82wIXlXesw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7vvXVgdQ+gX5P7g9uTK5WZ8e7430qMjY/bI12zN7bNTULVNupd2Y+LVfwRluaRARaDFr+vd6T/IfYp7FbnyORA==" saltValue="9Dx6Inv0Qhp52FLh4Szm7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RyDFNekK3n6hLEvbtarXGrHSfXHw/iaRd/IdrtgmCVFSvugY7xUrt0tNugpPR0zexneDG/+Pi5wDnfSrlf+Esg==" saltValue="wZ/1Tm6r2+1827CS/cY2e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M8SD3OLcxm/oMxCnKITKK/ITLmgkKdouWR20sgc5N8837lXciu1Mc0h/gIKDURFNg62GorpXWKAaYanbI2CZRQ==" saltValue="TFXZdUCd+PpdiLcylejzW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bJTFonOU2o1Nn6B7hvY8QlU7qwLoAI5aBbqy8gYRyK2nsK60EGEnBRgB71Ar0AS1KhMLQUnSB6XjlVYEh+6/BA==" saltValue="2f2YcqEhDdlyMhPOQ9TV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2024-03-18T00:54:18Z</dcterms:modified>
</cp:coreProperties>
</file>