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8B8D6929-3AD7-4AB5-B07C-D2113B09F6FD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E152" i="27"/>
  <c r="D152" i="27"/>
  <c r="H136" i="27"/>
  <c r="G136" i="27"/>
  <c r="F136" i="27"/>
  <c r="E136" i="27"/>
  <c r="H135" i="27"/>
  <c r="G135" i="27"/>
  <c r="F135" i="27"/>
  <c r="E135" i="27"/>
  <c r="D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F152" i="27" s="1"/>
  <c r="E97" i="27"/>
  <c r="D97" i="27"/>
  <c r="H81" i="27"/>
  <c r="G81" i="27"/>
  <c r="F81" i="27"/>
  <c r="E81" i="27"/>
  <c r="H80" i="27"/>
  <c r="G80" i="27"/>
  <c r="F80" i="27"/>
  <c r="E80" i="27"/>
  <c r="D80" i="27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H129" i="27" s="1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A40" i="2"/>
  <c r="H39" i="2"/>
  <c r="G39" i="2"/>
  <c r="I39" i="2" s="1"/>
  <c r="H38" i="2"/>
  <c r="I38" i="2" s="1"/>
  <c r="G38" i="2"/>
  <c r="A38" i="2"/>
  <c r="A37" i="2"/>
  <c r="A35" i="2"/>
  <c r="A34" i="2"/>
  <c r="A33" i="2"/>
  <c r="A29" i="2"/>
  <c r="A27" i="2"/>
  <c r="A26" i="2"/>
  <c r="A25" i="2"/>
  <c r="A24" i="2"/>
  <c r="A22" i="2"/>
  <c r="A18" i="2"/>
  <c r="A17" i="2"/>
  <c r="A16" i="2"/>
  <c r="A14" i="2"/>
  <c r="A13" i="2"/>
  <c r="I11" i="2"/>
  <c r="H11" i="2"/>
  <c r="G11" i="2"/>
  <c r="H10" i="2"/>
  <c r="G10" i="2"/>
  <c r="I10" i="2" s="1"/>
  <c r="H9" i="2"/>
  <c r="I9" i="2" s="1"/>
  <c r="G9" i="2"/>
  <c r="H8" i="2"/>
  <c r="G8" i="2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A3" i="2"/>
  <c r="H2" i="2"/>
  <c r="G2" i="2"/>
  <c r="A2" i="2"/>
  <c r="A31" i="2" s="1"/>
  <c r="C33" i="1"/>
  <c r="C20" i="1"/>
  <c r="A19" i="2" l="1"/>
  <c r="A30" i="2"/>
  <c r="I2" i="2"/>
  <c r="I8" i="2"/>
  <c r="A21" i="2"/>
  <c r="A32" i="2"/>
  <c r="A39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<sst xmlns="http://schemas.openxmlformats.org/spreadsheetml/2006/main" count="2092" uniqueCount="341">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</sst>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2012015.765625</v>
      </c>
    </row>
    <row r="8" spans="1:3" ht="15" customHeight="1" x14ac:dyDescent="0.25">
      <c r="B8" s="5" t="s">
        <v>44</v>
      </c>
      <c r="C8" s="44">
        <v>0</v>
      </c>
    </row>
    <row r="9" spans="1:3" ht="15" customHeight="1" x14ac:dyDescent="0.25">
      <c r="B9" s="5" t="s">
        <v>43</v>
      </c>
      <c r="C9" s="45">
        <v>0.01</v>
      </c>
    </row>
    <row r="10" spans="1:3" ht="15" customHeight="1" x14ac:dyDescent="0.25">
      <c r="B10" s="5" t="s">
        <v>56</v>
      </c>
      <c r="C10" s="45">
        <v>1</v>
      </c>
    </row>
    <row r="11" spans="1:3" ht="15" customHeight="1" x14ac:dyDescent="0.25">
      <c r="B11" s="5" t="s">
        <v>49</v>
      </c>
      <c r="C11" s="45">
        <v>0.95299999999999996</v>
      </c>
    </row>
    <row r="12" spans="1:3" ht="15" customHeight="1" x14ac:dyDescent="0.25">
      <c r="B12" s="5" t="s">
        <v>41</v>
      </c>
      <c r="C12" s="45">
        <v>0.81200000000000006</v>
      </c>
    </row>
    <row r="13" spans="1:3" ht="15" customHeight="1" x14ac:dyDescent="0.25">
      <c r="B13" s="5" t="s">
        <v>62</v>
      </c>
      <c r="C13" s="45">
        <v>0.20399999999999999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8.2799999999999999E-2</v>
      </c>
    </row>
    <row r="24" spans="1:3" ht="15" customHeight="1" x14ac:dyDescent="0.25">
      <c r="B24" s="15" t="s">
        <v>46</v>
      </c>
      <c r="C24" s="45">
        <v>0.55079999999999996</v>
      </c>
    </row>
    <row r="25" spans="1:3" ht="15" customHeight="1" x14ac:dyDescent="0.25">
      <c r="B25" s="15" t="s">
        <v>47</v>
      </c>
      <c r="C25" s="45">
        <v>0.33279999999999998</v>
      </c>
    </row>
    <row r="26" spans="1:3" ht="15" customHeight="1" x14ac:dyDescent="0.25">
      <c r="B26" s="15" t="s">
        <v>48</v>
      </c>
      <c r="C26" s="45">
        <v>3.3599999999999998E-2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0.36614845468901602</v>
      </c>
    </row>
    <row r="30" spans="1:3" ht="14.25" customHeight="1" x14ac:dyDescent="0.25">
      <c r="B30" s="25" t="s">
        <v>63</v>
      </c>
      <c r="C30" s="99">
        <v>8.5813228127425589E-2</v>
      </c>
    </row>
    <row r="31" spans="1:3" ht="14.25" customHeight="1" x14ac:dyDescent="0.25">
      <c r="B31" s="25" t="s">
        <v>10</v>
      </c>
      <c r="C31" s="99">
        <v>0.11932858169641999</v>
      </c>
    </row>
    <row r="32" spans="1:3" ht="14.25" customHeight="1" x14ac:dyDescent="0.25">
      <c r="B32" s="25" t="s">
        <v>11</v>
      </c>
      <c r="C32" s="99">
        <v>0.42870973548713898</v>
      </c>
    </row>
    <row r="33" spans="1:5" ht="13" customHeight="1" x14ac:dyDescent="0.25">
      <c r="B33" s="27" t="s">
        <v>60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4.6644885199815</v>
      </c>
    </row>
    <row r="38" spans="1:5" ht="15" customHeight="1" x14ac:dyDescent="0.25">
      <c r="B38" s="11" t="s">
        <v>35</v>
      </c>
      <c r="C38" s="43">
        <v>9.3023771690621295</v>
      </c>
      <c r="D38" s="12"/>
      <c r="E38" s="13"/>
    </row>
    <row r="39" spans="1:5" ht="15" customHeight="1" x14ac:dyDescent="0.25">
      <c r="B39" s="11" t="s">
        <v>61</v>
      </c>
      <c r="C39" s="43">
        <v>10.45053003804</v>
      </c>
      <c r="D39" s="12"/>
      <c r="E39" s="12"/>
    </row>
    <row r="40" spans="1:5" ht="15" customHeight="1" x14ac:dyDescent="0.25">
      <c r="B40" s="11" t="s">
        <v>36</v>
      </c>
      <c r="C40" s="100">
        <v>0.1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5.3894673099999997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4.6274000000000003E-3</v>
      </c>
      <c r="D45" s="12"/>
    </row>
    <row r="46" spans="1:5" ht="15.75" customHeight="1" x14ac:dyDescent="0.25">
      <c r="B46" s="11" t="s">
        <v>51</v>
      </c>
      <c r="C46" s="45">
        <v>5.0329499999999999E-2</v>
      </c>
      <c r="D46" s="12"/>
    </row>
    <row r="47" spans="1:5" ht="15.75" customHeight="1" x14ac:dyDescent="0.25">
      <c r="B47" s="11" t="s">
        <v>59</v>
      </c>
      <c r="C47" s="45">
        <v>3.3543299999999998E-2</v>
      </c>
      <c r="D47" s="12"/>
      <c r="E47" s="13"/>
    </row>
    <row r="48" spans="1:5" ht="15" customHeight="1" x14ac:dyDescent="0.25">
      <c r="B48" s="11" t="s">
        <v>58</v>
      </c>
      <c r="C48" s="46">
        <v>0.91149979999999997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2.8</v>
      </c>
      <c r="D51" s="12"/>
    </row>
    <row r="52" spans="1:4" ht="15" customHeight="1" x14ac:dyDescent="0.25">
      <c r="B52" s="11" t="s">
        <v>13</v>
      </c>
      <c r="C52" s="100">
        <v>2.8</v>
      </c>
    </row>
    <row r="53" spans="1:4" ht="15.75" customHeight="1" x14ac:dyDescent="0.25">
      <c r="B53" s="11" t="s">
        <v>16</v>
      </c>
      <c r="C53" s="100">
        <v>2.8</v>
      </c>
    </row>
    <row r="54" spans="1:4" ht="15.75" customHeight="1" x14ac:dyDescent="0.25">
      <c r="B54" s="11" t="s">
        <v>14</v>
      </c>
      <c r="C54" s="100">
        <v>2.8</v>
      </c>
    </row>
    <row r="55" spans="1:4" ht="15.75" customHeight="1" x14ac:dyDescent="0.25">
      <c r="B55" s="11" t="s">
        <v>15</v>
      </c>
      <c r="C55" s="100">
        <v>2.8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1.6428571428571431E-2</v>
      </c>
    </row>
    <row r="59" spans="1:4" ht="15.75" customHeight="1" x14ac:dyDescent="0.25">
      <c r="B59" s="11" t="s">
        <v>40</v>
      </c>
      <c r="C59" s="45">
        <v>0.6155790000000001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5.4285702999999901E-2</v>
      </c>
    </row>
    <row r="63" spans="1:4" ht="15.75" customHeight="1" x14ac:dyDescent="0.3">
      <c r="A63" s="4"/>
    </row>
  </sheetData>
  <sheetProtection algorithmName="SHA-512" hashValue="+9q76JJDdKOwN6dOCzTZuFb5ZsJNfaAxRcGAXoQUYEs5sDDY96cTnUV/wZcuzVI6Ybptcel59siI1wPVPROktQ==" saltValue="PZnrYcGil5SUChYvPXIsG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341528.94760000001</v>
      </c>
      <c r="C2" s="49">
        <v>584000</v>
      </c>
      <c r="D2" s="49">
        <v>1228000</v>
      </c>
      <c r="E2" s="49">
        <v>1559000</v>
      </c>
      <c r="F2" s="49">
        <v>1187000</v>
      </c>
      <c r="G2" s="17">
        <f t="shared" ref="G2:G11" si="0">C2+D2+E2+F2</f>
        <v>4558000</v>
      </c>
      <c r="H2" s="17">
        <f t="shared" ref="H2:H11" si="1">(B2 + stillbirth*B2/(1000-stillbirth))/(1-abortion)</f>
        <v>390204.06889170263</v>
      </c>
      <c r="I2" s="17">
        <f t="shared" ref="I2:I11" si="2">G2-H2</f>
        <v>4167795.9311082973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335671.64820000011</v>
      </c>
      <c r="C3" s="50">
        <v>627000</v>
      </c>
      <c r="D3" s="50">
        <v>1173000</v>
      </c>
      <c r="E3" s="50">
        <v>1587000</v>
      </c>
      <c r="F3" s="50">
        <v>1198000</v>
      </c>
      <c r="G3" s="17">
        <f t="shared" si="0"/>
        <v>4585000</v>
      </c>
      <c r="H3" s="17">
        <f t="shared" si="1"/>
        <v>383511.9800522122</v>
      </c>
      <c r="I3" s="17">
        <f t="shared" si="2"/>
        <v>4201488.0199477877</v>
      </c>
    </row>
    <row r="4" spans="1:9" ht="15.75" customHeight="1" x14ac:dyDescent="0.25">
      <c r="A4" s="5">
        <f t="shared" si="3"/>
        <v>2023</v>
      </c>
      <c r="B4" s="49">
        <v>329550.55920000008</v>
      </c>
      <c r="C4" s="50">
        <v>677000</v>
      </c>
      <c r="D4" s="50">
        <v>1127000</v>
      </c>
      <c r="E4" s="50">
        <v>1603000</v>
      </c>
      <c r="F4" s="50">
        <v>1210000</v>
      </c>
      <c r="G4" s="17">
        <f t="shared" si="0"/>
        <v>4617000</v>
      </c>
      <c r="H4" s="17">
        <f t="shared" si="1"/>
        <v>376518.50599786744</v>
      </c>
      <c r="I4" s="17">
        <f t="shared" si="2"/>
        <v>4240481.4940021327</v>
      </c>
    </row>
    <row r="5" spans="1:9" ht="15.75" customHeight="1" x14ac:dyDescent="0.25">
      <c r="A5" s="5">
        <f t="shared" si="3"/>
        <v>2024</v>
      </c>
      <c r="B5" s="49">
        <v>323174.17300000013</v>
      </c>
      <c r="C5" s="50">
        <v>729000</v>
      </c>
      <c r="D5" s="50">
        <v>1098000</v>
      </c>
      <c r="E5" s="50">
        <v>1602000</v>
      </c>
      <c r="F5" s="50">
        <v>1229000</v>
      </c>
      <c r="G5" s="17">
        <f t="shared" si="0"/>
        <v>4658000</v>
      </c>
      <c r="H5" s="17">
        <f t="shared" si="1"/>
        <v>369233.34947585297</v>
      </c>
      <c r="I5" s="17">
        <f t="shared" si="2"/>
        <v>4288766.6505241469</v>
      </c>
    </row>
    <row r="6" spans="1:9" ht="15.75" customHeight="1" x14ac:dyDescent="0.25">
      <c r="A6" s="5">
        <f t="shared" si="3"/>
        <v>2025</v>
      </c>
      <c r="B6" s="49">
        <v>316550.98200000002</v>
      </c>
      <c r="C6" s="50">
        <v>779000</v>
      </c>
      <c r="D6" s="50">
        <v>1091000</v>
      </c>
      <c r="E6" s="50">
        <v>1582000</v>
      </c>
      <c r="F6" s="50">
        <v>1260000</v>
      </c>
      <c r="G6" s="17">
        <f t="shared" si="0"/>
        <v>4712000</v>
      </c>
      <c r="H6" s="17">
        <f t="shared" si="1"/>
        <v>361666.2132333527</v>
      </c>
      <c r="I6" s="17">
        <f t="shared" si="2"/>
        <v>4350333.7867666474</v>
      </c>
    </row>
    <row r="7" spans="1:9" ht="15.75" customHeight="1" x14ac:dyDescent="0.25">
      <c r="A7" s="5">
        <f t="shared" si="3"/>
        <v>2026</v>
      </c>
      <c r="B7" s="49">
        <v>315027.80440000002</v>
      </c>
      <c r="C7" s="50">
        <v>826000</v>
      </c>
      <c r="D7" s="50">
        <v>1103000</v>
      </c>
      <c r="E7" s="50">
        <v>1542000</v>
      </c>
      <c r="F7" s="50">
        <v>1300000</v>
      </c>
      <c r="G7" s="17">
        <f t="shared" si="0"/>
        <v>4771000</v>
      </c>
      <c r="H7" s="17">
        <f t="shared" si="1"/>
        <v>359925.95050791954</v>
      </c>
      <c r="I7" s="17">
        <f t="shared" si="2"/>
        <v>4411074.0494920807</v>
      </c>
    </row>
    <row r="8" spans="1:9" ht="15.75" customHeight="1" x14ac:dyDescent="0.25">
      <c r="A8" s="5">
        <f t="shared" si="3"/>
        <v>2027</v>
      </c>
      <c r="B8" s="49">
        <v>313382.90999999997</v>
      </c>
      <c r="C8" s="50">
        <v>871000</v>
      </c>
      <c r="D8" s="50">
        <v>1136000</v>
      </c>
      <c r="E8" s="50">
        <v>1483000</v>
      </c>
      <c r="F8" s="50">
        <v>1348000</v>
      </c>
      <c r="G8" s="17">
        <f t="shared" si="0"/>
        <v>4838000</v>
      </c>
      <c r="H8" s="17">
        <f t="shared" si="1"/>
        <v>358046.623756007</v>
      </c>
      <c r="I8" s="17">
        <f t="shared" si="2"/>
        <v>4479953.3762439927</v>
      </c>
    </row>
    <row r="9" spans="1:9" ht="15.75" customHeight="1" x14ac:dyDescent="0.25">
      <c r="A9" s="5">
        <f t="shared" si="3"/>
        <v>2028</v>
      </c>
      <c r="B9" s="49">
        <v>311603.00079999998</v>
      </c>
      <c r="C9" s="50">
        <v>911000</v>
      </c>
      <c r="D9" s="50">
        <v>1188000</v>
      </c>
      <c r="E9" s="50">
        <v>1414000</v>
      </c>
      <c r="F9" s="50">
        <v>1401000</v>
      </c>
      <c r="G9" s="17">
        <f t="shared" si="0"/>
        <v>4914000</v>
      </c>
      <c r="H9" s="17">
        <f t="shared" si="1"/>
        <v>356013.03973047016</v>
      </c>
      <c r="I9" s="17">
        <f t="shared" si="2"/>
        <v>4557986.9602695294</v>
      </c>
    </row>
    <row r="10" spans="1:9" ht="15.75" customHeight="1" x14ac:dyDescent="0.25">
      <c r="A10" s="5">
        <f t="shared" si="3"/>
        <v>2029</v>
      </c>
      <c r="B10" s="49">
        <v>309722.04320000001</v>
      </c>
      <c r="C10" s="50">
        <v>940000</v>
      </c>
      <c r="D10" s="50">
        <v>1252000</v>
      </c>
      <c r="E10" s="50">
        <v>1342000</v>
      </c>
      <c r="F10" s="50">
        <v>1451000</v>
      </c>
      <c r="G10" s="17">
        <f t="shared" si="0"/>
        <v>4985000</v>
      </c>
      <c r="H10" s="17">
        <f t="shared" si="1"/>
        <v>353864.00576397788</v>
      </c>
      <c r="I10" s="17">
        <f t="shared" si="2"/>
        <v>4631135.9942360222</v>
      </c>
    </row>
    <row r="11" spans="1:9" ht="15.75" customHeight="1" x14ac:dyDescent="0.25">
      <c r="A11" s="5">
        <f t="shared" si="3"/>
        <v>2030</v>
      </c>
      <c r="B11" s="49">
        <v>307726.53999999998</v>
      </c>
      <c r="C11" s="50">
        <v>955000</v>
      </c>
      <c r="D11" s="50">
        <v>1324000</v>
      </c>
      <c r="E11" s="50">
        <v>1275000</v>
      </c>
      <c r="F11" s="50">
        <v>1493000</v>
      </c>
      <c r="G11" s="17">
        <f t="shared" si="0"/>
        <v>5047000</v>
      </c>
      <c r="H11" s="17">
        <f t="shared" si="1"/>
        <v>351584.10101915849</v>
      </c>
      <c r="I11" s="17">
        <f t="shared" si="2"/>
        <v>4695415.898980841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x7VTC8CDn+XeaZ2aSU0v0EM31s2jHOSydbaDH6G87cLe+1CZAZDS7LhmnJwC14ZHNfHcdjCusGlxy1t3TRys9w==" saltValue="6n5frXArgEl0BFPZlaVjZQ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1.7674916162052361E-3</v>
      </c>
    </row>
    <row r="4" spans="1:8" ht="15.75" customHeight="1" x14ac:dyDescent="0.25">
      <c r="B4" s="19" t="s">
        <v>97</v>
      </c>
      <c r="C4" s="101">
        <v>0.113740677967266</v>
      </c>
    </row>
    <row r="5" spans="1:8" ht="15.75" customHeight="1" x14ac:dyDescent="0.25">
      <c r="B5" s="19" t="s">
        <v>95</v>
      </c>
      <c r="C5" s="101">
        <v>5.1637448915844868E-2</v>
      </c>
    </row>
    <row r="6" spans="1:8" ht="15.75" customHeight="1" x14ac:dyDescent="0.25">
      <c r="B6" s="19" t="s">
        <v>91</v>
      </c>
      <c r="C6" s="101">
        <v>0.216130520010517</v>
      </c>
    </row>
    <row r="7" spans="1:8" ht="15.75" customHeight="1" x14ac:dyDescent="0.25">
      <c r="B7" s="19" t="s">
        <v>96</v>
      </c>
      <c r="C7" s="101">
        <v>0.3026405963382805</v>
      </c>
    </row>
    <row r="8" spans="1:8" ht="15.75" customHeight="1" x14ac:dyDescent="0.25">
      <c r="B8" s="19" t="s">
        <v>98</v>
      </c>
      <c r="C8" s="101">
        <v>1.993589743588038E-3</v>
      </c>
    </row>
    <row r="9" spans="1:8" ht="15.75" customHeight="1" x14ac:dyDescent="0.25">
      <c r="B9" s="19" t="s">
        <v>92</v>
      </c>
      <c r="C9" s="101">
        <v>0.2357137679590697</v>
      </c>
    </row>
    <row r="10" spans="1:8" ht="15.75" customHeight="1" x14ac:dyDescent="0.25">
      <c r="B10" s="19" t="s">
        <v>94</v>
      </c>
      <c r="C10" s="101">
        <v>7.6375907449228647E-2</v>
      </c>
    </row>
    <row r="11" spans="1:8" ht="15.75" customHeight="1" x14ac:dyDescent="0.25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0.11212262671114</v>
      </c>
      <c r="D14" s="55">
        <v>0.11212262671114</v>
      </c>
      <c r="E14" s="55">
        <v>0.11212262671114</v>
      </c>
      <c r="F14" s="55">
        <v>0.11212262671114</v>
      </c>
    </row>
    <row r="15" spans="1:8" ht="15.75" customHeight="1" x14ac:dyDescent="0.25">
      <c r="B15" s="19" t="s">
        <v>102</v>
      </c>
      <c r="C15" s="101">
        <v>0.18677636600573061</v>
      </c>
      <c r="D15" s="101">
        <v>0.18677636600573061</v>
      </c>
      <c r="E15" s="101">
        <v>0.18677636600573061</v>
      </c>
      <c r="F15" s="101">
        <v>0.18677636600573061</v>
      </c>
    </row>
    <row r="16" spans="1:8" ht="15.75" customHeight="1" x14ac:dyDescent="0.25">
      <c r="B16" s="19" t="s">
        <v>2</v>
      </c>
      <c r="C16" s="101">
        <v>9.224776815687322E-3</v>
      </c>
      <c r="D16" s="101">
        <v>9.224776815687322E-3</v>
      </c>
      <c r="E16" s="101">
        <v>9.224776815687322E-3</v>
      </c>
      <c r="F16" s="101">
        <v>9.224776815687322E-3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101</v>
      </c>
      <c r="C19" s="101">
        <v>2.0160109736945458E-2</v>
      </c>
      <c r="D19" s="101">
        <v>2.0160109736945458E-2</v>
      </c>
      <c r="E19" s="101">
        <v>2.0160109736945458E-2</v>
      </c>
      <c r="F19" s="101">
        <v>2.0160109736945458E-2</v>
      </c>
    </row>
    <row r="20" spans="1:8" ht="15.75" customHeight="1" x14ac:dyDescent="0.25">
      <c r="B20" s="19" t="s">
        <v>79</v>
      </c>
      <c r="C20" s="101">
        <v>2.1795042956127029E-2</v>
      </c>
      <c r="D20" s="101">
        <v>2.1795042956127029E-2</v>
      </c>
      <c r="E20" s="101">
        <v>2.1795042956127029E-2</v>
      </c>
      <c r="F20" s="101">
        <v>2.1795042956127029E-2</v>
      </c>
    </row>
    <row r="21" spans="1:8" ht="15.75" customHeight="1" x14ac:dyDescent="0.25">
      <c r="B21" s="19" t="s">
        <v>88</v>
      </c>
      <c r="C21" s="101">
        <v>0.16556264599334461</v>
      </c>
      <c r="D21" s="101">
        <v>0.16556264599334461</v>
      </c>
      <c r="E21" s="101">
        <v>0.16556264599334461</v>
      </c>
      <c r="F21" s="101">
        <v>0.16556264599334461</v>
      </c>
    </row>
    <row r="22" spans="1:8" ht="15.75" customHeight="1" x14ac:dyDescent="0.25">
      <c r="B22" s="19" t="s">
        <v>99</v>
      </c>
      <c r="C22" s="101">
        <v>0.48435843178102522</v>
      </c>
      <c r="D22" s="101">
        <v>0.48435843178102522</v>
      </c>
      <c r="E22" s="101">
        <v>0.48435843178102522</v>
      </c>
      <c r="F22" s="101">
        <v>0.48435843178102522</v>
      </c>
    </row>
    <row r="23" spans="1:8" ht="15.75" customHeight="1" x14ac:dyDescent="0.25">
      <c r="B23" s="27" t="s">
        <v>60</v>
      </c>
      <c r="C23" s="48">
        <f>SUM(C14:C22)</f>
        <v>1.0000000000000004</v>
      </c>
      <c r="D23" s="48">
        <f>SUM(D14:D22)</f>
        <v>1.0000000000000004</v>
      </c>
      <c r="E23" s="48">
        <f>SUM(E14:E22)</f>
        <v>1.0000000000000004</v>
      </c>
      <c r="F23" s="48">
        <f>SUM(F14:F22)</f>
        <v>1.0000000000000004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1.8716897E-2</v>
      </c>
    </row>
    <row r="27" spans="1:8" ht="15.75" customHeight="1" x14ac:dyDescent="0.25">
      <c r="B27" s="19" t="s">
        <v>89</v>
      </c>
      <c r="C27" s="101">
        <v>2.6342269999999998E-3</v>
      </c>
    </row>
    <row r="28" spans="1:8" ht="15.75" customHeight="1" x14ac:dyDescent="0.25">
      <c r="B28" s="19" t="s">
        <v>103</v>
      </c>
      <c r="C28" s="101">
        <v>0.29297385599999998</v>
      </c>
    </row>
    <row r="29" spans="1:8" ht="15.75" customHeight="1" x14ac:dyDescent="0.25">
      <c r="B29" s="19" t="s">
        <v>86</v>
      </c>
      <c r="C29" s="101">
        <v>7.1156342999999997E-2</v>
      </c>
    </row>
    <row r="30" spans="1:8" ht="15.75" customHeight="1" x14ac:dyDescent="0.25">
      <c r="B30" s="19" t="s">
        <v>4</v>
      </c>
      <c r="C30" s="101">
        <v>0.18743774999999999</v>
      </c>
    </row>
    <row r="31" spans="1:8" ht="15.75" customHeight="1" x14ac:dyDescent="0.25">
      <c r="B31" s="19" t="s">
        <v>80</v>
      </c>
      <c r="C31" s="101">
        <v>5.5795655999999999E-2</v>
      </c>
    </row>
    <row r="32" spans="1:8" ht="15.75" customHeight="1" x14ac:dyDescent="0.25">
      <c r="B32" s="19" t="s">
        <v>85</v>
      </c>
      <c r="C32" s="101">
        <v>3.8825242000000003E-2</v>
      </c>
    </row>
    <row r="33" spans="2:3" ht="15.75" customHeight="1" x14ac:dyDescent="0.25">
      <c r="B33" s="19" t="s">
        <v>100</v>
      </c>
      <c r="C33" s="101">
        <v>1.5145660999999999E-2</v>
      </c>
    </row>
    <row r="34" spans="2:3" ht="15.75" customHeight="1" x14ac:dyDescent="0.25">
      <c r="B34" s="19" t="s">
        <v>87</v>
      </c>
      <c r="C34" s="101">
        <v>0.31731436899999999</v>
      </c>
    </row>
    <row r="35" spans="2:3" ht="15.75" customHeight="1" x14ac:dyDescent="0.25">
      <c r="B35" s="27" t="s">
        <v>60</v>
      </c>
      <c r="C35" s="48">
        <f>SUM(C26:C34)</f>
        <v>1.0000000010000001</v>
      </c>
    </row>
  </sheetData>
  <sheetProtection algorithmName="SHA-512" hashValue="MHEWzXcdXJUjrD311cpaL5XalRFYmV5C6kD8zQegtL2KNB9z2+BqkKjUV8OMm/rovpAN+cPt4Fu75RUMb6Cfww==" saltValue="J9KBNuibbzhvHkeHCBP8C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0.74204106995474561</v>
      </c>
      <c r="D2" s="52">
        <f>IFERROR(1-_xlfn.NORM.DIST(_xlfn.NORM.INV(SUM(D4:D5), 0, 1) + 1, 0, 1, TRUE), "")</f>
        <v>0.74204106995474561</v>
      </c>
      <c r="E2" s="52">
        <f>IFERROR(1-_xlfn.NORM.DIST(_xlfn.NORM.INV(SUM(E4:E5), 0, 1) + 1, 0, 1, TRUE), "")</f>
        <v>0.7161228220981839</v>
      </c>
      <c r="F2" s="52">
        <f>IFERROR(1-_xlfn.NORM.DIST(_xlfn.NORM.INV(SUM(F4:F5), 0, 1) + 1, 0, 1, TRUE), "")</f>
        <v>0.63590887022530385</v>
      </c>
      <c r="G2" s="52">
        <f>IFERROR(1-_xlfn.NORM.DIST(_xlfn.NORM.INV(SUM(G4:G5), 0, 1) + 1, 0, 1, TRUE), "")</f>
        <v>0.64403128869994553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0.20845173305261869</v>
      </c>
      <c r="D3" s="52">
        <f>IFERROR(_xlfn.NORM.DIST(_xlfn.NORM.INV(SUM(D4:D5), 0, 1) + 1, 0, 1, TRUE) - SUM(D4:D5), "")</f>
        <v>0.20845173305261869</v>
      </c>
      <c r="E3" s="52">
        <f>IFERROR(_xlfn.NORM.DIST(_xlfn.NORM.INV(SUM(E4:E5), 0, 1) + 1, 0, 1, TRUE) - SUM(E4:E5), "")</f>
        <v>0.22582787162835566</v>
      </c>
      <c r="F3" s="52">
        <f>IFERROR(_xlfn.NORM.DIST(_xlfn.NORM.INV(SUM(F4:F5), 0, 1) + 1, 0, 1, TRUE) - SUM(F4:F5), "")</f>
        <v>0.27518867122615026</v>
      </c>
      <c r="G3" s="52">
        <f>IFERROR(_xlfn.NORM.DIST(_xlfn.NORM.INV(SUM(G4:G5), 0, 1) + 1, 0, 1, TRUE) - SUM(G4:G5), "")</f>
        <v>0.27050897233025156</v>
      </c>
    </row>
    <row r="4" spans="1:15" ht="15.75" customHeight="1" x14ac:dyDescent="0.25">
      <c r="B4" s="5" t="s">
        <v>110</v>
      </c>
      <c r="C4" s="45">
        <v>3.0190013349056199E-2</v>
      </c>
      <c r="D4" s="53">
        <v>3.0190013349056199E-2</v>
      </c>
      <c r="E4" s="53">
        <v>4.1978396475315101E-2</v>
      </c>
      <c r="F4" s="53">
        <v>4.7891374677419697E-2</v>
      </c>
      <c r="G4" s="53">
        <v>6.4321674406528501E-2</v>
      </c>
    </row>
    <row r="5" spans="1:15" ht="15.75" customHeight="1" x14ac:dyDescent="0.25">
      <c r="B5" s="5" t="s">
        <v>106</v>
      </c>
      <c r="C5" s="45">
        <v>1.93171836435795E-2</v>
      </c>
      <c r="D5" s="53">
        <v>1.93171836435795E-2</v>
      </c>
      <c r="E5" s="53">
        <v>1.6070909798145301E-2</v>
      </c>
      <c r="F5" s="53">
        <v>4.1011083871126203E-2</v>
      </c>
      <c r="G5" s="53">
        <v>2.1138064563274401E-2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0.53828633689990979</v>
      </c>
      <c r="D8" s="52">
        <f>IFERROR(1-_xlfn.NORM.DIST(_xlfn.NORM.INV(SUM(D10:D11), 0, 1) + 1, 0, 1, TRUE), "")</f>
        <v>0.53828633689990979</v>
      </c>
      <c r="E8" s="52">
        <f>IFERROR(1-_xlfn.NORM.DIST(_xlfn.NORM.INV(SUM(E10:E11), 0, 1) + 1, 0, 1, TRUE), "")</f>
        <v>0.8176327647509436</v>
      </c>
      <c r="F8" s="52">
        <f>IFERROR(1-_xlfn.NORM.DIST(_xlfn.NORM.INV(SUM(F10:F11), 0, 1) + 1, 0, 1, TRUE), "")</f>
        <v>0.82813916902818063</v>
      </c>
      <c r="G8" s="52">
        <f>IFERROR(1-_xlfn.NORM.DIST(_xlfn.NORM.INV(SUM(G10:G11), 0, 1) + 1, 0, 1, TRUE), "")</f>
        <v>0.86291465579214166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0.32519996425398856</v>
      </c>
      <c r="D9" s="52">
        <f>IFERROR(_xlfn.NORM.DIST(_xlfn.NORM.INV(SUM(D10:D11), 0, 1) + 1, 0, 1, TRUE) - SUM(D10:D11), "")</f>
        <v>0.32519996425398856</v>
      </c>
      <c r="E9" s="52">
        <f>IFERROR(_xlfn.NORM.DIST(_xlfn.NORM.INV(SUM(E10:E11), 0, 1) + 1, 0, 1, TRUE) - SUM(E10:E11), "")</f>
        <v>0.15406680927999208</v>
      </c>
      <c r="F9" s="52">
        <f>IFERROR(_xlfn.NORM.DIST(_xlfn.NORM.INV(SUM(F10:F11), 0, 1) + 1, 0, 1, TRUE) - SUM(F10:F11), "")</f>
        <v>0.14608371269128939</v>
      </c>
      <c r="G9" s="52">
        <f>IFERROR(_xlfn.NORM.DIST(_xlfn.NORM.INV(SUM(G10:G11), 0, 1) + 1, 0, 1, TRUE) - SUM(G10:G11), "")</f>
        <v>0.11893344207984734</v>
      </c>
    </row>
    <row r="10" spans="1:15" ht="15.75" customHeight="1" x14ac:dyDescent="0.25">
      <c r="B10" s="5" t="s">
        <v>107</v>
      </c>
      <c r="C10" s="45">
        <v>8.7693624198436695E-2</v>
      </c>
      <c r="D10" s="53">
        <v>8.7693624198436695E-2</v>
      </c>
      <c r="E10" s="53">
        <v>1.8754139542579699E-2</v>
      </c>
      <c r="F10" s="53">
        <v>1.7150809988379499E-2</v>
      </c>
      <c r="G10" s="53">
        <v>1.22688328847289E-2</v>
      </c>
    </row>
    <row r="11" spans="1:15" ht="15.75" customHeight="1" x14ac:dyDescent="0.25">
      <c r="B11" s="5" t="s">
        <v>119</v>
      </c>
      <c r="C11" s="45">
        <v>4.8820074647665003E-2</v>
      </c>
      <c r="D11" s="53">
        <v>4.8820074647665003E-2</v>
      </c>
      <c r="E11" s="53">
        <v>9.5462864264846004E-3</v>
      </c>
      <c r="F11" s="53">
        <v>8.6263082921504992E-3</v>
      </c>
      <c r="G11" s="53">
        <v>5.8830692432820996E-3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0.43544833799999999</v>
      </c>
      <c r="D14" s="54">
        <v>0.414763389195</v>
      </c>
      <c r="E14" s="54">
        <v>0.414763389195</v>
      </c>
      <c r="F14" s="54">
        <v>0.239306340073</v>
      </c>
      <c r="G14" s="54">
        <v>0.239306340073</v>
      </c>
      <c r="H14" s="45">
        <v>0.30399999999999999</v>
      </c>
      <c r="I14" s="55">
        <v>0.30399999999999999</v>
      </c>
      <c r="J14" s="55">
        <v>0.30399999999999999</v>
      </c>
      <c r="K14" s="55">
        <v>0.30399999999999999</v>
      </c>
      <c r="L14" s="45">
        <v>0.307</v>
      </c>
      <c r="M14" s="55">
        <v>0.307</v>
      </c>
      <c r="N14" s="55">
        <v>0.307</v>
      </c>
      <c r="O14" s="55">
        <v>0.307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0.26805285245770205</v>
      </c>
      <c r="D15" s="52">
        <f t="shared" si="0"/>
        <v>0.25531963235726896</v>
      </c>
      <c r="E15" s="52">
        <f t="shared" si="0"/>
        <v>0.25531963235726896</v>
      </c>
      <c r="F15" s="52">
        <f t="shared" si="0"/>
        <v>0.14731195751579729</v>
      </c>
      <c r="G15" s="52">
        <f t="shared" si="0"/>
        <v>0.14731195751579729</v>
      </c>
      <c r="H15" s="52">
        <f t="shared" si="0"/>
        <v>0.18713601600000002</v>
      </c>
      <c r="I15" s="52">
        <f t="shared" si="0"/>
        <v>0.18713601600000002</v>
      </c>
      <c r="J15" s="52">
        <f t="shared" si="0"/>
        <v>0.18713601600000002</v>
      </c>
      <c r="K15" s="52">
        <f t="shared" si="0"/>
        <v>0.18713601600000002</v>
      </c>
      <c r="L15" s="52">
        <f t="shared" si="0"/>
        <v>0.18898275300000003</v>
      </c>
      <c r="M15" s="52">
        <f t="shared" si="0"/>
        <v>0.18898275300000003</v>
      </c>
      <c r="N15" s="52">
        <f t="shared" si="0"/>
        <v>0.18898275300000003</v>
      </c>
      <c r="O15" s="52">
        <f t="shared" si="0"/>
        <v>0.18898275300000003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jTUR52Pfvz9aKCNjLGSU4rthfJq/yVX45/3+ELBPx7L7HVq1O2/u0FmSujwcXqBjY1Li3S824zDymGbJm+SabQ==" saltValue="kPcn1fZy/s/pclXGm5Ola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0.69556260108947798</v>
      </c>
      <c r="D2" s="53">
        <v>0.35208210000000001</v>
      </c>
      <c r="E2" s="53"/>
      <c r="F2" s="53"/>
      <c r="G2" s="53"/>
    </row>
    <row r="3" spans="1:7" x14ac:dyDescent="0.25">
      <c r="B3" s="3" t="s">
        <v>127</v>
      </c>
      <c r="C3" s="53">
        <v>0.24088123440742501</v>
      </c>
      <c r="D3" s="53">
        <v>0.36556179999999999</v>
      </c>
      <c r="E3" s="53"/>
      <c r="F3" s="53"/>
      <c r="G3" s="53"/>
    </row>
    <row r="4" spans="1:7" x14ac:dyDescent="0.25">
      <c r="B4" s="3" t="s">
        <v>126</v>
      </c>
      <c r="C4" s="53">
        <v>2.9348679999999999E-2</v>
      </c>
      <c r="D4" s="53">
        <v>0.1994631</v>
      </c>
      <c r="E4" s="53">
        <v>0.81741821765899703</v>
      </c>
      <c r="F4" s="53">
        <v>0.40598389506339999</v>
      </c>
      <c r="G4" s="53"/>
    </row>
    <row r="5" spans="1:7" x14ac:dyDescent="0.25">
      <c r="B5" s="3" t="s">
        <v>125</v>
      </c>
      <c r="C5" s="52">
        <v>3.2593633979558903E-2</v>
      </c>
      <c r="D5" s="52">
        <v>8.7540797889232594E-2</v>
      </c>
      <c r="E5" s="52">
        <f>1-SUM(E2:E4)</f>
        <v>0.18258178234100297</v>
      </c>
      <c r="F5" s="52">
        <f>1-SUM(F2:F4)</f>
        <v>0.59401610493659995</v>
      </c>
      <c r="G5" s="52">
        <f>1-SUM(G2:G4)</f>
        <v>1</v>
      </c>
    </row>
  </sheetData>
  <sheetProtection algorithmName="SHA-512" hashValue="5POoDj/24zOS92A8tGeeyf/KXCMA7hnlLBCX4IGd86RKamckB4U+a3w19G+XEVCsmrKpXJL4//DAhz3ovrwRNA==" saltValue="FRB28K/L5+kyHmQodYq+o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HVIfndRY5Hq4ZrblCuMsgjnmlCfU4TSrNCVkFNGzAC7/ESOI63swYb31Kp0pXMPF1em8QwlYCe8F5F/LVFmcvg==" saltValue="hRAOqvDexSTwVrRTF35kdw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ht="13.25" customHeight="1" x14ac:dyDescent="0.25">
      <c r="A2" s="8" t="s">
        <v>144</v>
      </c>
      <c r="B2" s="41">
        <v>10</v>
      </c>
    </row>
    <row r="3" spans="1:2" ht="13.25" customHeight="1" x14ac:dyDescent="0.25">
      <c r="A3" s="8" t="s">
        <v>143</v>
      </c>
      <c r="B3" s="41">
        <v>10</v>
      </c>
    </row>
    <row r="4" spans="1:2" ht="13.25" customHeight="1" x14ac:dyDescent="0.25">
      <c r="A4" s="8" t="s">
        <v>142</v>
      </c>
      <c r="B4" s="41">
        <v>10</v>
      </c>
    </row>
    <row r="5" spans="1:2" ht="13.25" customHeight="1" x14ac:dyDescent="0.25">
      <c r="A5" s="8" t="s">
        <v>146</v>
      </c>
      <c r="B5" s="41">
        <v>10</v>
      </c>
    </row>
    <row r="6" spans="1:2" ht="13.25" customHeight="1" x14ac:dyDescent="0.25">
      <c r="A6" s="8" t="s">
        <v>140</v>
      </c>
      <c r="B6" s="41">
        <v>10</v>
      </c>
    </row>
    <row r="7" spans="1:2" ht="13.25" customHeight="1" x14ac:dyDescent="0.25">
      <c r="A7" s="8" t="s">
        <v>141</v>
      </c>
      <c r="B7" s="41">
        <v>10</v>
      </c>
    </row>
  </sheetData>
  <sheetProtection algorithmName="SHA-512" hashValue="xg/9qQN4cjXKh61KnZgS+aXuXkHKO3TPmVKXtvSWsBGp3c37vMeRTusjRYEjHExIXPv+Qj7ht8zI1F+XH//fVA==" saltValue="P2lZ3aaICzT5a7E8X+BUc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ht="13.25" customHeight="1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ht="13.25" customHeight="1" x14ac:dyDescent="0.25">
      <c r="B5" s="32" t="s">
        <v>77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75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78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74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ht="13.25" customHeight="1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ht="13.25" customHeight="1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ht="13.25" customHeight="1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ht="13.25" customHeight="1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ht="13.25" customHeight="1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ht="13.25" customHeight="1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ht="13.25" customHeight="1" x14ac:dyDescent="0.25">
      <c r="B21" s="32" t="s">
        <v>148</v>
      </c>
      <c r="C21" s="31"/>
      <c r="D21" s="30"/>
      <c r="E21" s="47"/>
    </row>
  </sheetData>
  <sheetProtection algorithmName="SHA-512" hashValue="3Jr2RaTF9egl12658Sh68N1gYMcPpS0+qzNYQi0L3G3v2oso/nfGaj9IsU/JLHtPb705v5h3nQHj0ExTzlvITA==" saltValue="CYNSyU97ykjbliZ7g67+4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em20/xuhuKNIPJJsKxTZXkWoijvGOlwC2ZaG7XwsHlu9Sx0S200CQFtvYmeWUFXIncC4xxpkKWwsiGtovo3mLg==" saltValue="0mpZlB3Zj7/SjQqwnTkN7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0.90408009237760201</v>
      </c>
      <c r="C2" s="98">
        <v>0.95</v>
      </c>
      <c r="D2" s="56">
        <v>80.804937896193479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40.390616174846663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771.46935681029902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5.3213875403317896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13.522915618642561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13.522915618642561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13.522915618642561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13.522915618642561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13.522915618642561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13.522915618642561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0.95717651954678795</v>
      </c>
      <c r="C16" s="98">
        <v>0.95</v>
      </c>
      <c r="D16" s="56">
        <v>1.2296814185379119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17.67766297845575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17.67766297845575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0.66691672801971391</v>
      </c>
      <c r="C21" s="98">
        <v>0.95</v>
      </c>
      <c r="D21" s="56">
        <v>60.730148203505237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23.604022972406518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0.25818420409999998</v>
      </c>
      <c r="C23" s="98">
        <v>0.95</v>
      </c>
      <c r="D23" s="56">
        <v>4.5985477715053404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0.97760517333979391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0.90133043507252297</v>
      </c>
      <c r="C27" s="98">
        <v>0.95</v>
      </c>
      <c r="D27" s="56">
        <v>19.08390202702364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0.61788880000000002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165.62974913682319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0</v>
      </c>
      <c r="C31" s="98">
        <v>0.95</v>
      </c>
      <c r="D31" s="56">
        <v>1.20038967895152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0.35208210000000001</v>
      </c>
      <c r="C32" s="98">
        <v>0.95</v>
      </c>
      <c r="D32" s="56">
        <v>2.6928411357214559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0.97873701678292901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0</v>
      </c>
      <c r="C38" s="98">
        <v>0.95</v>
      </c>
      <c r="D38" s="56">
        <v>2.0061220772807462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0.48980810000000002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Y5CZIeQtJJpbvfscXVQNgJ9zo+eMy5jFzKcOcdY9eMxl6il6UxSBrqPaSYCPg0SvlNxA5zvw6dnwPo2TSG723w==" saltValue="1IBjJnc+FTarlVaeuE6FP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ht="13.25" customHeight="1" x14ac:dyDescent="0.25">
      <c r="A2" s="57" t="s">
        <v>178</v>
      </c>
      <c r="B2" s="47" t="s">
        <v>191</v>
      </c>
      <c r="C2" s="47"/>
    </row>
    <row r="3" spans="1:3" ht="13.25" customHeight="1" x14ac:dyDescent="0.25">
      <c r="A3" s="57" t="s">
        <v>179</v>
      </c>
      <c r="B3" s="47" t="s">
        <v>191</v>
      </c>
      <c r="C3" s="47"/>
    </row>
    <row r="4" spans="1:3" ht="13.25" customHeight="1" x14ac:dyDescent="0.25">
      <c r="A4" s="57" t="s">
        <v>193</v>
      </c>
      <c r="B4" s="47" t="s">
        <v>184</v>
      </c>
      <c r="C4" s="47"/>
    </row>
    <row r="5" spans="1:3" ht="13.25" customHeight="1" x14ac:dyDescent="0.25">
      <c r="A5" s="57" t="s">
        <v>190</v>
      </c>
      <c r="B5" s="47" t="s">
        <v>184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xctgbnSSbjaCHlLqU74OjLiiPT09NiwsLQ0EoPiqhj5i/Usyr63EWl/CrWg5PLuLkG93ek+g7apAkbv+e2oJkQ==" saltValue="W894myBZaBkNGmwGNcc/1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ht="13.25" customHeight="1" x14ac:dyDescent="0.25">
      <c r="A2" s="33" t="s">
        <v>170</v>
      </c>
    </row>
    <row r="3" spans="1:1" ht="13.25" customHeight="1" x14ac:dyDescent="0.25">
      <c r="A3" s="33" t="s">
        <v>180</v>
      </c>
    </row>
    <row r="4" spans="1:1" ht="13.25" customHeight="1" x14ac:dyDescent="0.25">
      <c r="A4" s="33" t="s">
        <v>185</v>
      </c>
    </row>
    <row r="5" spans="1:1" ht="13.25" customHeight="1" x14ac:dyDescent="0.25">
      <c r="A5" s="33" t="s">
        <v>197</v>
      </c>
    </row>
    <row r="6" spans="1:1" ht="13.25" customHeight="1" x14ac:dyDescent="0.25">
      <c r="A6" s="33" t="s">
        <v>198</v>
      </c>
    </row>
    <row r="7" spans="1:1" ht="13.25" customHeight="1" x14ac:dyDescent="0.25">
      <c r="A7" s="33" t="s">
        <v>199</v>
      </c>
    </row>
    <row r="8" spans="1:1" ht="13.25" customHeight="1" x14ac:dyDescent="0.25">
      <c r="A8" s="33" t="s">
        <v>200</v>
      </c>
    </row>
    <row r="9" spans="1:1" ht="13.25" customHeight="1" x14ac:dyDescent="0.25">
      <c r="A9" s="33" t="s">
        <v>201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sheetProtection algorithmName="SHA-512" hashValue="En9tyslC1X6QMDhHOtrKiEWGpFkjJO8Bw4/zyDpetC1qaYJQWKicQQd2DYKazTUdeFnFJpFvyRz2gn+xwkK05g==" saltValue="WJF7zgX4ntQfp3X3uKWeo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2.8</v>
      </c>
      <c r="C2" s="21">
        <f>'Entradas de población-año base'!C52</f>
        <v>2.8</v>
      </c>
      <c r="D2" s="21">
        <f>'Entradas de población-año base'!C53</f>
        <v>2.8</v>
      </c>
      <c r="E2" s="21">
        <f>'Entradas de población-año base'!C54</f>
        <v>2.8</v>
      </c>
      <c r="F2" s="21">
        <f>'Entradas de población-año base'!C55</f>
        <v>2.8</v>
      </c>
    </row>
    <row r="3" spans="1:6" ht="15.75" customHeight="1" x14ac:dyDescent="0.25">
      <c r="A3" s="3" t="s">
        <v>6</v>
      </c>
      <c r="B3" s="21">
        <f>frac_mam_1month * 2.6</f>
        <v>0.22800342291593542</v>
      </c>
      <c r="C3" s="21">
        <f>frac_mam_1_5months * 2.6</f>
        <v>0.22800342291593542</v>
      </c>
      <c r="D3" s="21">
        <f>frac_mam_6_11months * 2.6</f>
        <v>4.8760762810707223E-2</v>
      </c>
      <c r="E3" s="21">
        <f>frac_mam_12_23months * 2.6</f>
        <v>4.4592105969786702E-2</v>
      </c>
      <c r="F3" s="21">
        <f>frac_mam_24_59months * 2.6</f>
        <v>3.189896550029514E-2</v>
      </c>
    </row>
    <row r="4" spans="1:6" ht="15.75" customHeight="1" x14ac:dyDescent="0.25">
      <c r="A4" s="3" t="s">
        <v>207</v>
      </c>
      <c r="B4" s="21">
        <f>frac_sam_1month * 2.6</f>
        <v>0.126932194083929</v>
      </c>
      <c r="C4" s="21">
        <f>frac_sam_1_5months * 2.6</f>
        <v>0.126932194083929</v>
      </c>
      <c r="D4" s="21">
        <f>frac_sam_6_11months * 2.6</f>
        <v>2.4820344708859961E-2</v>
      </c>
      <c r="E4" s="21">
        <f>frac_sam_12_23months * 2.6</f>
        <v>2.2428401559591297E-2</v>
      </c>
      <c r="F4" s="21">
        <f>frac_sam_24_59months * 2.6</f>
        <v>1.5295980032533459E-2</v>
      </c>
    </row>
  </sheetData>
  <sheetProtection algorithmName="SHA-512" hashValue="qdXEMVQo8lF/YNoeob03Mpe9tos0WytOSzlDNZaTFc40wVyBGvrcyop6b/SblDzqz9knKgIPpHxDXdPYSjmYlw==" saltValue="NKYw98WB+h34oI6tH3k4Q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0</v>
      </c>
      <c r="E2" s="60">
        <f>food_insecure</f>
        <v>0</v>
      </c>
      <c r="F2" s="60">
        <f>food_insecure</f>
        <v>0</v>
      </c>
      <c r="G2" s="60">
        <f>food_insecure</f>
        <v>0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</v>
      </c>
      <c r="F5" s="60">
        <f>food_insecure</f>
        <v>0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0</v>
      </c>
      <c r="F8" s="60">
        <f>food_insecure</f>
        <v>0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0</v>
      </c>
      <c r="F9" s="60">
        <f>food_insecure</f>
        <v>0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0.81200000000000006</v>
      </c>
      <c r="E10" s="60">
        <f>IF(ISBLANK(comm_deliv), frac_children_health_facility,1)</f>
        <v>0.81200000000000006</v>
      </c>
      <c r="F10" s="60">
        <f>IF(ISBLANK(comm_deliv), frac_children_health_facility,1)</f>
        <v>0.81200000000000006</v>
      </c>
      <c r="G10" s="60">
        <f>IF(ISBLANK(comm_deliv), frac_children_health_facility,1)</f>
        <v>0.81200000000000006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</v>
      </c>
      <c r="I15" s="60">
        <f>food_insecure</f>
        <v>0</v>
      </c>
      <c r="J15" s="60">
        <f>food_insecure</f>
        <v>0</v>
      </c>
      <c r="K15" s="60">
        <f>food_insecure</f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0.95299999999999996</v>
      </c>
      <c r="I18" s="60">
        <f>frac_PW_health_facility</f>
        <v>0.95299999999999996</v>
      </c>
      <c r="J18" s="60">
        <f>frac_PW_health_facility</f>
        <v>0.95299999999999996</v>
      </c>
      <c r="K18" s="60">
        <f>frac_PW_health_facility</f>
        <v>0.95299999999999996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0.20399999999999999</v>
      </c>
      <c r="M24" s="60">
        <f>famplan_unmet_need</f>
        <v>0.20399999999999999</v>
      </c>
      <c r="N24" s="60">
        <f>famplan_unmet_need</f>
        <v>0.20399999999999999</v>
      </c>
      <c r="O24" s="60">
        <f>famplan_unmet_need</f>
        <v>0.20399999999999999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</v>
      </c>
      <c r="M25" s="60">
        <f>(1-food_insecure)*(0.49)+food_insecure*(0.7)</f>
        <v>0.49</v>
      </c>
      <c r="N25" s="60">
        <f>(1-food_insecure)*(0.49)+food_insecure*(0.7)</f>
        <v>0.49</v>
      </c>
      <c r="O25" s="60">
        <f>(1-food_insecure)*(0.49)+food_insecure*(0.7)</f>
        <v>0.49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</v>
      </c>
      <c r="M26" s="60">
        <f>(1-food_insecure)*(0.21)+food_insecure*(0.3)</f>
        <v>0.21</v>
      </c>
      <c r="N26" s="60">
        <f>(1-food_insecure)*(0.21)+food_insecure*(0.3)</f>
        <v>0.21</v>
      </c>
      <c r="O26" s="60">
        <f>(1-food_insecure)*(0.21)+food_insecure*(0.3)</f>
        <v>0.21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</v>
      </c>
      <c r="M27" s="60">
        <f>(1-food_insecure)*(0.3)</f>
        <v>0.3</v>
      </c>
      <c r="N27" s="60">
        <f>(1-food_insecure)*(0.3)</f>
        <v>0.3</v>
      </c>
      <c r="O27" s="60">
        <f>(1-food_insecure)*(0.3)</f>
        <v>0.3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1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1zGQ7zWkYH4Dbe9eKg8Gn2i0JjBLN1g4XDbQzmmSrqE2vK71o7lZgb20kU7xFyF6H+jopsRzDiwU1qoPuZhyyg==" saltValue="y4PXfshl8Ad6HlgSr/YUb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wwLCcB/94+S54ki+5mL0CWaK3+mdcFhaDplxEN3YFcCkgBld4yp+qhTo+QtJLAguxrlFfrLJf0tW9F24j7cqcA==" saltValue="Cp9ZjGYps47PRWXOJoW0h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ZkB6WotSjZajLqbNKLV2dPBDIY9JBM8MVRuoBZ+OOrMWAT+A+ZEWUXHN0epE9+nMyTTdE6MYpLqjaoDhiQhVkA==" saltValue="bGAUbANCX3i3PpXYU5C/+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C12" sqref="C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3Z+n/6z9Bjo4/yp2dMDzBoxjitYdObhSFLiYYbFc/eyLoQUQL7eWus/DsyA8TvnAAYr2aEd02Mp/xKayOHdr6A==" saltValue="V1Eu1tXP5C89Gggx4y5h8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ht="13.25" customHeight="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ht="13.25" customHeight="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ht="13.25" customHeight="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ht="13.25" customHeight="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ht="13.25" customHeight="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ht="13.25" customHeight="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ht="13.25" customHeight="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ht="13.25" customHeight="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ht="13.25" customHeight="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ht="13.25" customHeight="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ht="13.25" customHeight="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pUEPWU92XDeY61JYw4Tqbloibb1pNhRWCZyiFBfSyyJvnd3vuuJ5yK63VoiYSP30GKI8Hipgiwx5ehtCi4uiAw==" saltValue="wHX9bY64+8hVgJfpXcu4O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ht="13.25" customHeight="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ht="13.25" customHeight="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ht="13.25" customHeight="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ht="13.25" customHeight="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ht="13.25" customHeight="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ht="13.25" customHeight="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ht="13.25" customHeight="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ht="13.25" customHeight="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ht="13.25" customHeight="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ht="13.25" customHeight="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ht="13.25" customHeight="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ht="13.25" customHeight="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ht="13.25" customHeight="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2mbQ8/6CZRQJ4Hk7XrVBFkmYoKqKt0W2UQpXod/f8X9DHjnVryHJgET6DpOB0hPvGiRXEA6Ta/yAXVOrqXsa/w==" saltValue="2TlGDrxTIjGVCkg4O7Bc0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78</v>
      </c>
      <c r="C5" s="8" t="s">
        <v>150</v>
      </c>
      <c r="D5" s="88">
        <f>IFERROR((MIN(1,1.56*'Distribución de lactancia'!$C$2)/(1-MIN(1,1.56*'Distribución de lactancia'!$C$2))) /
('Distribución de lactancia'!$C$2/(1-'Distribución de lactancia'!$C$2)), 1.56)</f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149</v>
      </c>
      <c r="D6" s="88">
        <f>IFERROR((MIN(1,1.56*'Distribución de lactancia'!$C$2)/(1-MIN(1,1.56*'Distribución de lactancia'!$C$2))) /
('Distribución de lactancia'!$C$2/(1-'Distribución de lactancia'!$C$2)), 1.56)</f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74</v>
      </c>
      <c r="C8" s="8" t="s">
        <v>150</v>
      </c>
      <c r="D8" s="88">
        <v>1</v>
      </c>
      <c r="E8" s="88">
        <f>IFERROR((MIN(1,1.56*'Distribución de lactancia'!$D$2)/(1-MIN(1,1.56*'Distribución de lactancia'!$D$2))) /
('Distribución de lactancia'!$D$2/(1-'Distribución de lactancia'!$D$2)), 1.56)</f>
        <v>2.2423685184314377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149</v>
      </c>
      <c r="D9" s="88">
        <v>1</v>
      </c>
      <c r="E9" s="88">
        <f>IFERROR((MIN(1,1.56*'Distribución de lactancia'!$D$2)/(1-MIN(1,1.56*'Distribución de lactancia'!$D$2))) /
('Distribución de lactancia'!$D$2/(1-'Distribución de lactancia'!$D$2)), 1.56)</f>
        <v>2.2423685184314377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149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155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155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IFERROR((MIN(1,1.37*'Distribución de lactancia'!$C$2)/(1-MIN(1,1.37*'Distribución de lactancia'!$C$2))) /
('Distribución de lactancia'!$C$2/(1-'Distribución de lactancia'!$C$2)), 1.37)</f>
        <v>8.8590909166873253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IFERROR((MIN(1,1.37*'Distribución de lactancia'!$C$2)/(1-MIN(1,1.37*'Distribución de lactancia'!$C$2))) /
('Distribución de lactancia'!$C$2/(1-'Distribución de lactancia'!$C$2)), 1.37)</f>
        <v>8.8590909166873253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IFERROR((MIN(1,1.37*'Distribución de lactancia'!$D$2)/(1-MIN(1,1.37*'Distribución de lactancia'!$D$2))) /
('Distribución de lactancia'!$D$2/(1-'Distribución de lactancia'!$D$2)), 1.37)</f>
        <v>1.7147720863333489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IFERROR((MIN(1,1.37*'Distribución de lactancia'!$D$2)/(1-MIN(1,1.37*'Distribución de lactancia'!$D$2))) /
('Distribución de lactancia'!$D$2/(1-'Distribución de lactancia'!$D$2)), 1.37)</f>
        <v>1.7147720863333489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IFERROR((MIN(1,1.77*'Distribución de lactancia'!$C$2)/(1-MIN(1,1.77*'Distribución de lactancia'!$C$2))) /
('Distribución de lactancia'!$C$2/(1-'Distribución de lactancia'!$C$2)), 1.77)</f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IFERROR((MIN(1,1.77*'Distribución de lactancia'!$C$2)/(1-MIN(1,1.77*'Distribución de lactancia'!$C$2))) /
('Distribución de lactancia'!$C$2/(1-'Distribución de lactancia'!$C$2)), 1.77)</f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IFERROR((MIN(1,1.77*'Distribución de lactancia'!$D$2)/(1-MIN(1,1.77*'Distribución de lactancia'!$D$2))) /
('Distribución de lactancia'!$D$2/(1-'Distribución de lactancia'!$D$2)), 1.77)</f>
        <v>3.0434447879516418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IFERROR((MIN(1,1.77*'Distribución de lactancia'!$D$2)/(1-MIN(1,1.77*'Distribución de lactancia'!$D$2))) /
('Distribución de lactancia'!$D$2/(1-'Distribución de lactancia'!$D$2)), 1.77)</f>
        <v>3.0434447879516418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bCjvrJTVcdBMYX/wa+NEczQXXeG0CmC2DjHUKYEqSXuwaXWSr6AA72cQPMFWS0aGpjjLaLqbXgI7MjRD/xfcsA==" saltValue="BbkYMPLNHGgW3rE3jEHuE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31" sqref="C31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FI50bNTAiXkd0fxPfNpKH7JF7LFcxD5zu6RB94h8GkbpMT6kzFASWd6RrAMODqFu343+dBJW/hYaSJK3Hj6YsA==" saltValue="jr1wLIRpRm3BGSmY+sU0E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30" sqref="D30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9eSC4vnc9co7HpUC1AyayDOwEEBW/3vrn8q6zNC+CtcJNHmwF+GZhg3XtVuXnM3JSQ5AhpMTCWrxqB90yEvxqg==" saltValue="rHPhsADsHpFD4g2o3EdvR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C29" sqref="C29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
/ (SUM('Distribución estado nutricional'!$E$4:$E$5)/(1-SUM('Distribución estado nutricional'!$E$4:$E$5))))</f>
        <v>0.62610938175269681</v>
      </c>
      <c r="F6" s="90">
        <f>IF(ISBLANK('Distribución estado nutricional'!$F$4),0.64, (0.64*SUM('Distribución estado nutricional'!$F$4:$F$5)/(1-0.64*SUM('Distribución estado nutricional'!$F$4:$F$5)))/ (SUM('Distribución estado nutricional'!$F$4:$F$5)/(1-SUM('Distribución estado nutricional'!$F$4:$F$5))))</f>
        <v>0.61828112209935382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0.87353999426843121</v>
      </c>
      <c r="F7" s="90">
        <f>IF(ISBLANK('Distribución estado nutricional'!$F$4),0.88, (0.88*SUM('Distribución estado nutricional'!$F$4:$F$5)/(1-0.88*SUM('Distribución estado nutricional'!$F$4:$F$5)))/ (SUM('Distribución estado nutricional'!$F$4:$F$5)/(1-SUM('Distribución estado nutricional'!$F$4:$F$5))))</f>
        <v>0.86981509267190349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0.87353999426843121</v>
      </c>
      <c r="F8" s="90">
        <f>IF(ISBLANK('Distribución estado nutricional'!$F$4),0.88, (0.88*SUM('Distribución estado nutricional'!$F$4:$F$5)/(1-0.88*SUM('Distribución estado nutricional'!$F$4:$F$5)))/ (SUM('Distribución estado nutricional'!$F$4:$F$5)/(1-SUM('Distribución estado nutricional'!$F$4:$F$5))))</f>
        <v>0.86981509267190349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nutricional'!E$4),0.44, (0.44*SUM('Distribución estado nutricional'!E$4:E$5)/(1-0.44*SUM('Distribución estado nutricional'!E$4:E$5)))/ (SUM('Distribución estado nutricional'!E$4:E$5)/(1-SUM('Distribución estado nutricional'!E$4:E$5))))</f>
        <v>0.42532174338412287</v>
      </c>
      <c r="F29" s="90">
        <f>IF(ISBLANK('Distribución estado nutricional'!F$4),0.44, (0.44*SUM('Distribución estado nutricional'!F$4:F$5)/(1-0.44*SUM('Distribución estado nutricional'!F$4:F$5)))/ (SUM('Distribución estado nutricional'!F$4:F$5)/(1-SUM('Distribución estado nutricional'!F$4:F$5))))</f>
        <v>0.4172026691591979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nutricional'!E$4),0.85, (0.85*SUM('Distribución estado nutricional'!E$4:E$5)/(1-0.85*SUM('Distribución estado nutricional'!E$4:E$5)))/ (SUM('Distribución estado nutricional'!E$4:E$5)/(1-SUM('Distribución estado nutricional'!E$4:E$5))))</f>
        <v>0.84221456522559601</v>
      </c>
      <c r="F30" s="90">
        <f>IF(ISBLANK('Distribución estado nutricional'!F$4),0.85, (0.85*SUM('Distribución estado nutricional'!F$4:F$5)/(1-0.85*SUM('Distribución estado nutricional'!F$4:F$5)))/ (SUM('Distribución estado nutricional'!F$4:F$5)/(1-SUM('Distribución estado nutricional'!F$4:F$5))))</f>
        <v>0.83773836009140601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nutricional'!E$4),0.85, (0.85*SUM('Distribución estado nutricional'!E$4:E$5)/(1-0.85*SUM('Distribución estado nutricional'!E$4:E$5)))/ (SUM('Distribución estado nutricional'!E$4:E$5)/(1-SUM('Distribución estado nutricional'!E$4:E$5))))</f>
        <v>0.84221456522559601</v>
      </c>
      <c r="F31" s="90">
        <f>IF(ISBLANK('Distribución estado nutricional'!F$4),0.85, (0.85*SUM('Distribución estado nutricional'!F$4:F$5)/(1-0.85*SUM('Distribución estado nutricional'!F$4:F$5)))/ (SUM('Distribución estado nutricional'!F$4:F$5)/(1-SUM('Distribución estado nutricional'!F$4:F$5))))</f>
        <v>0.83773836009140601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nutricional'!E$4),0.92, (0.92*SUM('Distribución estado nutricional'!E$4:E$5)/(1-0.92*SUM('Distribución estado nutricional'!E$4:E$5)))/ (SUM('Distribución estado nutricional'!E$4:E$5)/(1-SUM('Distribución estado nutricional'!E$4:E$5))))</f>
        <v>0.91548652742242165</v>
      </c>
      <c r="F52" s="90">
        <f>IF(ISBLANK('Distribución estado nutricional'!F$4),0.92, (0.92*SUM('Distribución estado nutricional'!F$4:F$5)/(1-0.92*SUM('Distribución estado nutricional'!F$4:F$5)))/ (SUM('Distribución estado nutricional'!F$4:F$5)/(1-SUM('Distribución estado nutricional'!F$4:F$5))))</f>
        <v>0.91287393644674186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nutricional'!E$4),0.91, (0.91*SUM('Distribución estado nutricional'!E$4:E$5)/(1-0.91*SUM('Distribución estado nutricional'!E$4:E$5)))/ (SUM('Distribución estado nutricional'!E$4:E$5)/(1-SUM('Distribución estado nutricional'!E$4:E$5))))</f>
        <v>0.904980613376836</v>
      </c>
      <c r="F53" s="90">
        <f>IF(ISBLANK('Distribución estado nutricional'!F$4),0.91, (0.91*SUM('Distribución estado nutricional'!F$4:F$5)/(1-0.91*SUM('Distribución estado nutricional'!F$4:F$5)))/ (SUM('Distribución estado nutricional'!F$4:F$5)/(1-SUM('Distribución estado nutricional'!F$4:F$5))))</f>
        <v>0.90207798807870065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nutricional'!E$4),0.91, (0.91*SUM('Distribución estado nutricional'!E$4:E$5)/(1-0.91*SUM('Distribución estado nutricional'!E$4:E$5)))/ (SUM('Distribución estado nutricional'!E$4:E$5)/(1-SUM('Distribución estado nutricional'!E$4:E$5))))</f>
        <v>0.904980613376836</v>
      </c>
      <c r="F54" s="90">
        <f>IF(ISBLANK('Distribución estado nutricional'!F$4),0.91, (0.91*SUM('Distribución estado nutricional'!F$4:F$5)/(1-0.91*SUM('Distribución estado nutricional'!F$4:F$5)))/ (SUM('Distribución estado nutricional'!F$4:F$5)/(1-SUM('Distribución estado nutricional'!F$4:F$5))))</f>
        <v>0.90207798807870065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k8ByYQzAB5rxP8LYrrMFuMosUPnme0PRD9vzu6WJZbU/IMyylxJje0ioYwM0QubGshAfrPnZY28ullKHd3E8yw==" saltValue="vOzui4owWsMPJg3DLNvpk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U0LZKeR8785+bU2lMmWsleF1tspvoPGVBl+Sl5KmHtBAs5WAvpVqrJ1LBaX92AWFlWsJ9B+7yisnz7F6HerBWw==" saltValue="0tic5MYfAOMoWPVHJYbOG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0.60078153275825952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0.66171295024488808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0.66171295024488808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0.64154035231462503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0.64154035231462503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0.64154035231462503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0.64154035231462503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0.6405463695183321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0.6405463695183321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0.6405463695183321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0.6405463695183321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0.7006836185508557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0.75264512887311774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0.75264512887311774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0.73572938689217748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0.73572938689217748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0.73572938689217748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0.73572938689217748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0.73488865323435859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0.73488865323435859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0.73488865323435859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0.73488865323435859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175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177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178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179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180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190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191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204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172</v>
      </c>
      <c r="C42" s="90">
        <f t="shared" ref="C42:D44" si="9">IF(C19=1,1,C19*0.9)</f>
        <v>1</v>
      </c>
      <c r="D42" s="90">
        <f t="shared" si="9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0.40723770735938536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0.471734691746997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0.471734691746997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0.44965543644716688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0.44965543644716688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0.44965543644716688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0.44965543644716688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0.44858670374721304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0.44858670374721304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0.44858670374721304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0.44858670374721304</v>
      </c>
    </row>
    <row r="43" spans="1:15" x14ac:dyDescent="0.25">
      <c r="B43" s="5" t="s">
        <v>173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181</v>
      </c>
      <c r="C44" s="90">
        <f t="shared" si="9"/>
        <v>1</v>
      </c>
      <c r="D44" s="90">
        <f t="shared" si="9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0.57726570324394577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0.63963338979996065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0.63963338979996065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0.61890243902439024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0.61890243902439024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0.61890243902439024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0.61890243902439024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0.61788307222009942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0.61788307222009942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0.61788307222009942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0.61788307222009942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174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175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176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177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178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179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180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190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191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204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172</v>
      </c>
      <c r="C65" s="90">
        <f t="shared" ref="C65:D67" si="20">IF(C19=1,1,C19*1.05)</f>
        <v>1</v>
      </c>
      <c r="D65" s="90">
        <f t="shared" si="2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0.94980587526670279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0.96093103175225858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0.96093103175225858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0.95745405037440423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0.95745405037440423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0.95745405037440423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0.95745405037440423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0.95727773742897437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0.95727773742897437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0.95727773742897437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0.95727773742897437</v>
      </c>
    </row>
    <row r="66" spans="2:15" x14ac:dyDescent="0.25">
      <c r="B66" s="5" t="s">
        <v>173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181</v>
      </c>
      <c r="C67" s="90">
        <f t="shared" si="20"/>
        <v>1</v>
      </c>
      <c r="D67" s="90">
        <f t="shared" si="2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0.87063759278525277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0.89741461322144733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0.89741461322144733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0.88893824966681456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0.88893824966681456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0.88893824966681456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0.88893824966681456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0.88851106527677159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0.88851106527677159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0.88851106527677159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0.88851106527677159</v>
      </c>
    </row>
  </sheetData>
  <sheetProtection algorithmName="SHA-512" hashValue="j2sJqM+eqtsCuOmifv2y2QqQ+vMV2xhbMlp3n6vWuWCEJGMJt9AuvSsFY8vzH7frGtUhnxJMLmfYWY/OUikSDg==" saltValue="thBKiJUhgSHUnkSWvLTpp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ht="13.25" customHeight="1" x14ac:dyDescent="0.25">
      <c r="B3" s="11" t="s">
        <v>164</v>
      </c>
      <c r="C3" s="90">
        <v>1</v>
      </c>
      <c r="D3" s="90">
        <f>IF(ISBLANK('Distribución estado nutricional'!D$11),(1/1.33),((1/1.33)*'Distribución estado nutricional'!D$11/(1-(1/1.33)*'Distribución estado nutricional'!D$11))
/ ('Distribución estado nutricional'!D$11/(1-'Distribución estado nutricional'!D$11)))</f>
        <v>0.74242493698982415</v>
      </c>
      <c r="E3" s="90">
        <f>IF(ISBLANK('Distribución estado nutricional'!E$11),(1/1.33),((1/1.33)*'Distribución estado nutricional'!E$11/(1-(1/1.33)*'Distribución estado nutricional'!E$11))
/ ('Distribución estado nutricional'!E$11/(1-'Distribución estado nutricional'!E$11)))</f>
        <v>0.75008590107492057</v>
      </c>
      <c r="F3" s="90">
        <f>IF(ISBLANK('Distribución estado nutricional'!F$11),(1/1.33),((1/1.33)*'Distribución estado nutricional'!F$11/(1-(1/1.33)*'Distribución estado nutricional'!F$11))
/ ('Distribución estado nutricional'!F$11/(1-'Distribución estado nutricional'!F$11)))</f>
        <v>0.75025989841414087</v>
      </c>
      <c r="G3" s="90">
        <f>IF(ISBLANK('Distribución estado nutricional'!G$11),(1/1.33),((1/1.33)*'Distribución estado nutricional'!G$11/(1-(1/1.33)*'Distribución estado nutricional'!G$11))
/ ('Distribución estado nutricional'!G$11/(1-'Distribución estado nutricional'!G$11)))</f>
        <v>0.75077729743142174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162</v>
      </c>
      <c r="C5" s="90">
        <v>1</v>
      </c>
      <c r="D5" s="90">
        <f>IF(ISBLANK('Distribución estado nutricional'!D$10),(1/1.33),((1/1.33)*'Distribución estado nutricional'!D$10/(1-(1/1.33)*'Distribución estado nutricional'!D$10))
/ ('Distribución estado nutricional'!D$10/(1-'Distribución estado nutricional'!D$10)))</f>
        <v>0.73436504357705101</v>
      </c>
      <c r="E5" s="90">
        <f>IF(ISBLANK('Distribución estado nutricional'!E$10),(1/1.33),((1/1.33)*'Distribución estado nutricional'!E$10/(1-(1/1.33)*'Distribución estado nutricional'!E$10))
/ ('Distribución estado nutricional'!E$10/(1-'Distribución estado nutricional'!E$10)))</f>
        <v>0.74833095001353789</v>
      </c>
      <c r="F5" s="90">
        <f>IF(ISBLANK('Distribución estado nutricional'!F$10),(1/1.33),((1/1.33)*'Distribución estado nutricional'!F$10/(1-(1/1.33)*'Distribución estado nutricional'!F$10))
/ ('Distribución estado nutricional'!F$10/(1-'Distribución estado nutricional'!F$10)))</f>
        <v>0.74863830323338276</v>
      </c>
      <c r="G5" s="90">
        <f>IF(ISBLANK('Distribución estado nutricional'!G$10),(1/1.33),((1/1.33)*'Distribución estado nutricional'!G$10/(1-(1/1.33)*'Distribución estado nutricional'!G$10))
/ ('Distribución estado nutricional'!G$10/(1-'Distribución estado nutricional'!G$10)))</f>
        <v>0.74956955695111616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ht="13.25" customHeight="1" x14ac:dyDescent="0.25">
      <c r="B10" s="11" t="s">
        <v>164</v>
      </c>
      <c r="C10" s="90">
        <v>1</v>
      </c>
      <c r="D10" s="90">
        <f>IF(ISBLANK('Distribución estado nutricional'!D$11),(1/1.54),((1/1.54)*'Distribución estado nutricional'!D$11/(1-(1/1.54)*'Distribución estado nutricional'!D$11))
/ ('Distribución estado nutricional'!D$11/(1-'Distribución estado nutricional'!D$11)))</f>
        <v>0.63787066146802551</v>
      </c>
      <c r="E10" s="90">
        <f>IF(ISBLANK('Distribución estado nutricional'!E$11),(1/1.54),((1/1.54)*'Distribución estado nutricional'!E$11/(1-(1/1.54)*'Distribución estado nutricional'!E$11))
/ ('Distribución estado nutricional'!E$11/(1-'Distribución estado nutricional'!E$11)))</f>
        <v>0.64716345537877573</v>
      </c>
      <c r="F10" s="90">
        <f>IF(ISBLANK('Distribución estado nutricional'!F$11),(1/1.54),((1/1.54)*'Distribución estado nutricional'!F$11/(1-(1/1.54)*'Distribución estado nutricional'!F$11))
/ ('Distribución estado nutricional'!F$11/(1-'Distribución estado nutricional'!F$11)))</f>
        <v>0.64737542317462027</v>
      </c>
      <c r="G10" s="90">
        <f>IF(ISBLANK('Distribución estado nutricional'!G$11),(1/1.54),((1/1.54)*'Distribución estado nutricional'!G$11/(1-(1/1.54)*'Distribución estado nutricional'!G$11))
/ ('Distribución estado nutricional'!G$11/(1-'Distribución estado nutricional'!G$11)))</f>
        <v>0.64800597061813292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162</v>
      </c>
      <c r="C12" s="90">
        <v>1</v>
      </c>
      <c r="D12" s="90">
        <f>IF(ISBLANK('Distribución estado nutricional'!D$10),(1/1.54),((1/1.54)*'Distribución estado nutricional'!D$10/(1-(1/1.54)*'Distribución estado nutricional'!D$10))
/ ('Distribución estado nutricional'!D$10/(1-'Distribución estado nutricional'!D$10)))</f>
        <v>0.62817762904747909</v>
      </c>
      <c r="E12" s="90">
        <f>IF(ISBLANK('Distribución estado nutricional'!E$10),(1/1.54),((1/1.54)*'Distribución estado nutricional'!E$10/(1-(1/1.54)*'Distribución estado nutricional'!E$10))
/ ('Distribución estado nutricional'!E$10/(1-'Distribución estado nutricional'!E$10)))</f>
        <v>0.64502779331302273</v>
      </c>
      <c r="F12" s="90">
        <f>IF(ISBLANK('Distribución estado nutricional'!F$10),(1/1.54),((1/1.54)*'Distribución estado nutricional'!F$10/(1-(1/1.54)*'Distribución estado nutricional'!F$10))
/ ('Distribución estado nutricional'!F$10/(1-'Distribución estado nutricional'!F$10)))</f>
        <v>0.64540152528440509</v>
      </c>
      <c r="G12" s="90">
        <f>IF(ISBLANK('Distribución estado nutricional'!G$10),(1/1.54),((1/1.54)*'Distribución estado nutricional'!G$10/(1-(1/1.54)*'Distribución estado nutricional'!G$10))
/ ('Distribución estado nutricional'!G$10/(1-'Distribución estado nutricional'!G$10)))</f>
        <v>0.64653467074337967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ht="13.25" customHeight="1" x14ac:dyDescent="0.25">
      <c r="B17" s="11" t="s">
        <v>164</v>
      </c>
      <c r="C17" s="90">
        <v>1</v>
      </c>
      <c r="D17" s="90">
        <f>IF(ISBLANK('Distribución estado nutricional'!D$11),(1/1.16),((1/1.16)*'Distribución estado nutricional'!D$11/(1-(1/1.16)*'Distribución estado nutricional'!D$11))
/ ('Distribución estado nutricional'!D$11/(1-'Distribución estado nutricional'!D$11)))</f>
        <v>0.85600891777335986</v>
      </c>
      <c r="E17" s="90">
        <f>IF(ISBLANK('Distribución estado nutricional'!E$11),(1/1.16),((1/1.16)*'Distribución estado nutricional'!E$11/(1-(1/1.16)*'Distribución estado nutricional'!E$11))
/ ('Distribución estado nutricional'!E$11/(1-'Distribución estado nutricional'!E$11)))</f>
        <v>0.86092443519260664</v>
      </c>
      <c r="F17" s="90">
        <f>IF(ISBLANK('Distribución estado nutricional'!F$11),(1/1.16),((1/1.16)*'Distribución estado nutricional'!F$11/(1-(1/1.16)*'Distribución estado nutricional'!F$11))
/ ('Distribución estado nutricional'!F$11/(1-'Distribución estado nutricional'!F$11)))</f>
        <v>0.86103556025961514</v>
      </c>
      <c r="G17" s="90">
        <f>IF(ISBLANK('Distribución estado nutricional'!G$11),(1/1.16),((1/1.16)*'Distribución estado nutricional'!G$11/(1-(1/1.16)*'Distribución estado nutricional'!G$11))
/ ('Distribución estado nutricional'!G$11/(1-'Distribución estado nutricional'!G$11)))</f>
        <v>0.86136586706591933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162</v>
      </c>
      <c r="C19" s="90">
        <v>1</v>
      </c>
      <c r="D19" s="90">
        <f>IF(ISBLANK('Distribución estado nutricional'!D$10),(1/1.16),((1/1.16)*'Distribución estado nutricional'!D$10/(1-(1/1.16)*'Distribución estado nutricional'!D$10))
/ ('Distribución estado nutricional'!D$10/(1-'Distribución estado nutricional'!D$10)))</f>
        <v>0.85078891293507608</v>
      </c>
      <c r="E19" s="90">
        <f>IF(ISBLANK('Distribución estado nutricional'!E$10),(1/1.16),((1/1.16)*'Distribución estado nutricional'!E$10/(1-(1/1.16)*'Distribución estado nutricional'!E$10))
/ ('Distribución estado nutricional'!E$10/(1-'Distribución estado nutricional'!E$10)))</f>
        <v>0.85980233922962868</v>
      </c>
      <c r="F19" s="90">
        <f>IF(ISBLANK('Distribución estado nutricional'!F$10),(1/1.16),((1/1.16)*'Distribución estado nutricional'!F$10/(1-(1/1.16)*'Distribución estado nutricional'!F$10))
/ ('Distribución estado nutricional'!F$10/(1-'Distribución estado nutricional'!F$10)))</f>
        <v>0.85999902576964427</v>
      </c>
      <c r="G19" s="90">
        <f>IF(ISBLANK('Distribución estado nutricional'!G$10),(1/1.16),((1/1.16)*'Distribución estado nutricional'!G$10/(1-(1/1.16)*'Distribución estado nutricional'!G$10))
/ ('Distribución estado nutricional'!G$10/(1-'Distribución estado nutricional'!G$10)))</f>
        <v>0.86059453242683404</v>
      </c>
    </row>
  </sheetData>
  <sheetProtection algorithmName="SHA-512" hashValue="NvxMVOpnO+Hih2ZV0j55sw5nmwTdkn90KfYZ9OTBCObCIaGslX0lrifUFk6WWM+Bqofi1Gfd1eaYdOzqYyC6Mg==" saltValue="WZ+lgaRbFOo3aAkWOrCRE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ht="13.25" customHeight="1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338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338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338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338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338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338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102</v>
      </c>
      <c r="C45" s="5" t="s">
        <v>337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192</v>
      </c>
      <c r="B48" s="5" t="s">
        <v>84</v>
      </c>
      <c r="C48" s="5" t="s">
        <v>337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182</v>
      </c>
      <c r="B52" s="5" t="s">
        <v>96</v>
      </c>
      <c r="C52" s="5" t="s">
        <v>337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339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ht="13.25" customHeight="1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338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193</v>
      </c>
      <c r="B60" s="5" t="s">
        <v>207</v>
      </c>
      <c r="C60" s="5" t="s">
        <v>337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338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6</v>
      </c>
      <c r="C62" s="5" t="s">
        <v>337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338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184</v>
      </c>
      <c r="B64" s="5" t="s">
        <v>207</v>
      </c>
      <c r="C64" s="5" t="s">
        <v>337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338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6</v>
      </c>
      <c r="C66" s="5" t="s">
        <v>337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338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204</v>
      </c>
      <c r="B68" s="5" t="s">
        <v>207</v>
      </c>
      <c r="C68" s="5" t="s">
        <v>337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338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338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338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338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338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338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338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102</v>
      </c>
      <c r="C100" s="5" t="s">
        <v>337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338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338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338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6</v>
      </c>
      <c r="C117" s="5" t="s">
        <v>337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338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338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6</v>
      </c>
      <c r="C121" s="5" t="s">
        <v>337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338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338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338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338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6</v>
      </c>
      <c r="C129" s="5" t="s">
        <v>337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338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338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338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338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338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338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338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102</v>
      </c>
      <c r="C155" s="5" t="s">
        <v>337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338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xQnrjHKdG5+njtKlPoW3rGcydoZ6m2keCX8bzTpY+W5+NjmGJeYeoYtAykfLPD1fRsraBC2MfeX6fLhd2O5Krw==" saltValue="D9S6cMyV/O1yWM1tasYMR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2" sqref="D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ht="13.25" customHeight="1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ht="13.25" customHeight="1" x14ac:dyDescent="0.25">
      <c r="A11" s="3" t="s">
        <v>166</v>
      </c>
      <c r="B11" s="8" t="s">
        <v>86</v>
      </c>
      <c r="C11" s="3" t="s">
        <v>337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189</v>
      </c>
      <c r="B13" s="8" t="s">
        <v>86</v>
      </c>
      <c r="C13" s="3" t="s">
        <v>337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ht="13.25" customHeight="1" x14ac:dyDescent="0.25">
      <c r="A20" s="3" t="s">
        <v>166</v>
      </c>
      <c r="B20" s="8" t="s">
        <v>86</v>
      </c>
      <c r="C20" s="3" t="s">
        <v>337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189</v>
      </c>
      <c r="B22" s="8" t="s">
        <v>86</v>
      </c>
      <c r="C22" s="3" t="s">
        <v>337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188</v>
      </c>
      <c r="B24" s="8" t="s">
        <v>86</v>
      </c>
      <c r="C24" s="3" t="s">
        <v>337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/+2OMnHzGzCeUTbFrkk0CX49q+zHI8O0RyAG9E01hAHaGTQUG5F021hs4WKopEuFOGYAtoX9LTHUbRDpk+C6cA==" saltValue="npbFEaBzKDwHWbntPIbrGw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2024-03-18T00:55:39Z</dcterms:modified>
</cp:coreProperties>
</file>