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es\LiST countries\"/>
    </mc:Choice>
  </mc:AlternateContent>
  <xr:revisionPtr revIDLastSave="0" documentId="8_{5272765D-968B-4037-A40A-51FEE1C272B7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state="hidden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state="hidden" r:id="rId13"/>
    <sheet name="Población objetivo del programa" sheetId="14" state="hidden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state="hidden" r:id="rId18"/>
    <sheet name="Riegos para la población" sheetId="19" state="hidden" r:id="rId19"/>
    <sheet name="Razón de momios IYCF" sheetId="20" state="hidden" r:id="rId20"/>
    <sheet name="Riesgos desenlace de nacimiento" sheetId="21" state="hidden" r:id="rId21"/>
    <sheet name="Riesgos relativos" sheetId="22" state="hidden" r:id="rId22"/>
    <sheet name="Razón de momios" sheetId="23" state="hidden" r:id="rId23"/>
    <sheet name="Resultados de nacimiento- prog" sheetId="24" state="hidden" r:id="rId24"/>
    <sheet name="Programas de anemia" sheetId="25" state="hidden" r:id="rId25"/>
    <sheet name="Programas para emaciación" sheetId="26" state="hidden" r:id="rId26"/>
    <sheet name="Programas para niños" sheetId="27" state="hidden" r:id="rId27"/>
    <sheet name="Prog. para mujeres embarazadas" sheetId="28" state="hidden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A40" i="2"/>
  <c r="H39" i="2"/>
  <c r="G39" i="2"/>
  <c r="H38" i="2"/>
  <c r="G38" i="2"/>
  <c r="I38" i="2" s="1"/>
  <c r="A38" i="2"/>
  <c r="A37" i="2"/>
  <c r="A35" i="2"/>
  <c r="A27" i="2"/>
  <c r="A26" i="2"/>
  <c r="A25" i="2"/>
  <c r="A17" i="2"/>
  <c r="A15" i="2"/>
  <c r="A14" i="2"/>
  <c r="H11" i="2"/>
  <c r="I11" i="2" s="1"/>
  <c r="G11" i="2"/>
  <c r="H10" i="2"/>
  <c r="G10" i="2"/>
  <c r="I10" i="2" s="1"/>
  <c r="H9" i="2"/>
  <c r="I9" i="2" s="1"/>
  <c r="G9" i="2"/>
  <c r="H8" i="2"/>
  <c r="G8" i="2"/>
  <c r="H7" i="2"/>
  <c r="I7" i="2" s="1"/>
  <c r="G7" i="2"/>
  <c r="H6" i="2"/>
  <c r="G6" i="2"/>
  <c r="I6" i="2" s="1"/>
  <c r="H5" i="2"/>
  <c r="I5" i="2" s="1"/>
  <c r="G5" i="2"/>
  <c r="H4" i="2"/>
  <c r="G4" i="2"/>
  <c r="I4" i="2" s="1"/>
  <c r="I3" i="2"/>
  <c r="H3" i="2"/>
  <c r="G3" i="2"/>
  <c r="H2" i="2"/>
  <c r="G2" i="2"/>
  <c r="I2" i="2" s="1"/>
  <c r="A2" i="2"/>
  <c r="A32" i="2" s="1"/>
  <c r="C33" i="1"/>
  <c r="C20" i="1"/>
  <c r="I40" i="2" l="1"/>
  <c r="A18" i="2"/>
  <c r="A29" i="2"/>
  <c r="A19" i="2"/>
  <c r="A30" i="2"/>
  <c r="I8" i="2"/>
  <c r="A21" i="2"/>
  <c r="A31" i="2"/>
  <c r="A39" i="2"/>
  <c r="A22" i="2"/>
  <c r="A33" i="2"/>
  <c r="I39" i="2"/>
  <c r="A13" i="2"/>
  <c r="A23" i="2"/>
  <c r="A34" i="2"/>
  <c r="A12" i="2"/>
  <c r="A20" i="2"/>
  <c r="A28" i="2"/>
  <c r="A36" i="2"/>
  <c r="A3" i="2"/>
  <c r="A4" i="2" s="1"/>
  <c r="A5" i="2" s="1"/>
  <c r="A6" i="2" s="1"/>
  <c r="A7" i="2" s="1"/>
  <c r="A8" i="2" s="1"/>
  <c r="A9" i="2" s="1"/>
  <c r="A10" i="2" s="1"/>
  <c r="A11" i="2" s="1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<sst xmlns="http://schemas.openxmlformats.org/spreadsheetml/2006/main" count="2092" uniqueCount="341">
  <si>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Field</t>
  </si>
  <si>
    <t>Neonatal</t>
  </si>
  <si>
    <t>Meningitis</t>
  </si>
  <si>
    <t>Malaria</t>
  </si>
  <si>
    <t>Sepsis</t>
  </si>
  <si>
    <t>x</t>
  </si>
  <si>
    <t>MAM</t>
  </si>
  <si>
    <t>Normal</t>
  </si>
  <si>
    <t>N/A</t>
  </si>
  <si>
    <t>Outcome</t>
  </si>
  <si>
    <t>18-23 meses</t>
  </si>
  <si>
    <t>24 meses o más</t>
  </si>
  <si>
    <t>Distribución de edad de las mujeres embarazadas</t>
  </si>
  <si>
    <t>Promedio de episodios por año: 1-5 meses</t>
  </si>
  <si>
    <t>Promedio de episodios por año: 12-23 meses</t>
  </si>
  <si>
    <t>Promedio de episodios por año: 24-59 meses</t>
  </si>
  <si>
    <t>Promedio de episodios por año: 6-11 meses</t>
  </si>
  <si>
    <t>Promedio de episodios por año: &lt;1 mes</t>
  </si>
  <si>
    <t>Año de referencia (año de inicio de la proyección)</t>
  </si>
  <si>
    <t>Datos del año de referencia</t>
  </si>
  <si>
    <t>Mortalidad y factores de riesgo en el año de referencia</t>
  </si>
  <si>
    <t>Distribución del desenlace del nacimiento</t>
  </si>
  <si>
    <t>Espaciamiento entre los nacimientos</t>
  </si>
  <si>
    <t>Población infantil menor de 5 años</t>
  </si>
  <si>
    <t>Datos</t>
  </si>
  <si>
    <t>Incidencia de la diarrea</t>
  </si>
  <si>
    <t>Año final</t>
  </si>
  <si>
    <t>El primer nacimiento</t>
  </si>
  <si>
    <t>Alimento</t>
  </si>
  <si>
    <t>Fracción que consume maíz como principal alimento básico</t>
  </si>
  <si>
    <t>Fracción que consume arroz como principal alimento básico</t>
  </si>
  <si>
    <t>Fracción que consume trigo como principal alimento básico</t>
  </si>
  <si>
    <t>Fracción de embarazos que terminan en aborto espontáneo</t>
  </si>
  <si>
    <t>Fracción de agricultura de subsistencia</t>
  </si>
  <si>
    <t>Fracción de otros alimentos básicos como alimento principal</t>
  </si>
  <si>
    <t>Mortalidad infantil (por cada 1.000 nacidos vivos)</t>
  </si>
  <si>
    <t>Mortalidad materna (por cada 1.000 nacidos vivos)</t>
  </si>
  <si>
    <t>Mortalidad</t>
  </si>
  <si>
    <t>Mortalidad neonatal (por cada 1.000 nacidos vivos)</t>
  </si>
  <si>
    <t>Otros riesgos</t>
  </si>
  <si>
    <t>Porcentaje de anemia que es deficiente en hierro</t>
  </si>
  <si>
    <t>Porcentaje de niños que acuden a un centro de salud</t>
  </si>
  <si>
    <t>Porcentaje de diarrea grave</t>
  </si>
  <si>
    <t>Porcentaje de población con riesgo de malaria</t>
  </si>
  <si>
    <t>Porcentaje de población con inseguridad alimentaria (pobre por defecto)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</si>
  <si>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</si>
  <si>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</si>
  <si>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</si>
  <si>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</si>
  <si>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Porcentaje de mujeres embarazadas que acuden a un centro de salud</t>
  </si>
  <si>
    <t>Datos poblacionales</t>
  </si>
  <si>
    <t>Prematuro AEG (adecuado para edad gestacional)</t>
  </si>
  <si>
    <t>Prematuro PEG (pequeño para la edad gestacional)</t>
  </si>
  <si>
    <t>Prevalencia de eclampsia</t>
  </si>
  <si>
    <t>Prevalencia de preeclampsia</t>
  </si>
  <si>
    <t>Años de proyección</t>
  </si>
  <si>
    <t>Asistencia a la escuela (porcentaje de mujeres de 15 a 19 años)</t>
  </si>
  <si>
    <t>Nacidos muertos (por cada 1.000 nacimientos totales)</t>
  </si>
  <si>
    <t>Nacido a término AEG (Adecuado para la edad gestacional)</t>
  </si>
  <si>
    <t>Nacido a término PEG (pequeño para la edad gestacional)</t>
  </si>
  <si>
    <t>Total (debe ser el 100%)</t>
  </si>
  <si>
    <t>Mortalidad de menores de 5 años (por cada 1.000 nacidos vivos)</t>
  </si>
  <si>
    <t>Necesidad insatisfecha de planificación familiar</t>
  </si>
  <si>
    <t>menos de 18 meses</t>
  </si>
  <si>
    <t>Bajo peso al nacer</t>
  </si>
  <si>
    <t>Estimación de mujeres embarazadas</t>
  </si>
  <si>
    <t>Número de nacimientos</t>
  </si>
  <si>
    <t>Total mujeres en edad reproductiva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</si>
  <si>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</si>
  <si>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</si>
  <si>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</si>
  <si>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</si>
  <si>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mujeres en edad reproductiva no embarazadas</t>
  </si>
  <si>
    <t>año</t>
  </si>
  <si>
    <t>1-5 meses</t>
  </si>
  <si>
    <t>12-23 meses</t>
  </si>
  <si>
    <t>24-59 meses</t>
  </si>
  <si>
    <t>6-11 meses</t>
  </si>
  <si>
    <t>&lt;1 mes</t>
  </si>
  <si>
    <t>SIDA</t>
  </si>
  <si>
    <t>Aborto</t>
  </si>
  <si>
    <t>Hemorragia pre-parto</t>
  </si>
  <si>
    <t>Causas</t>
  </si>
  <si>
    <t>Niños</t>
  </si>
  <si>
    <t>Diarrea</t>
  </si>
  <si>
    <t>Embolia</t>
  </si>
  <si>
    <t>Trastornos hipertensivos</t>
  </si>
  <si>
    <t>Causas indirectas</t>
  </si>
  <si>
    <t>Lesión</t>
  </si>
  <si>
    <t>Hemorragia intraparto</t>
  </si>
  <si>
    <t>Sarampión</t>
  </si>
  <si>
    <t>Asfixia neonatal</t>
  </si>
  <si>
    <t>Anomalías congénitas neonatales</t>
  </si>
  <si>
    <t>Diarrea neonatal</t>
  </si>
  <si>
    <t>Neonatal otros</t>
  </si>
  <si>
    <t>Neumonía neonatal</t>
  </si>
  <si>
    <t>Prematuridad neonatal</t>
  </si>
  <si>
    <t>Sepsis neonatal</t>
  </si>
  <si>
    <t>Tétanos neonatal</t>
  </si>
  <si>
    <t>Otro</t>
  </si>
  <si>
    <t>Otras causas directas</t>
  </si>
  <si>
    <t>Tosferina</t>
  </si>
  <si>
    <t>Neumonía</t>
  </si>
  <si>
    <t>Hemorragia posparto</t>
  </si>
  <si>
    <t>Mujeres embarazadas</t>
  </si>
  <si>
    <t>Anemia</t>
  </si>
  <si>
    <t>Alto (puntuación HAZ &lt; -3)</t>
  </si>
  <si>
    <t>MAM (puntuación WHZ entre -3 y -2)</t>
  </si>
  <si>
    <t>Leve (score HAZ entre -2 y -1)</t>
  </si>
  <si>
    <t>Leve (score WHZ entre -2 y -1)</t>
  </si>
  <si>
    <t>Moderado (score HAZ entre -3 y -2)</t>
  </si>
  <si>
    <t>Normal (score HAZ &gt; -1)</t>
  </si>
  <si>
    <t>Normal (score WHZ &gt; -1)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</si>
  <si>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</si>
  <si>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</si>
  <si>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</si>
  <si>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</si>
  <si>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</si>
  <si>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</si>
  <si>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MAS (score WHZ &lt; -3)</t>
  </si>
  <si>
    <t>Estado</t>
  </si>
  <si>
    <t>Retraso en el crecimiento (Talla para la edad)</t>
  </si>
  <si>
    <t>Emaciación (peso para la talla)</t>
  </si>
  <si>
    <t>Lactancia materna</t>
  </si>
  <si>
    <t>Exclusivo</t>
  </si>
  <si>
    <t>Ninguno</t>
  </si>
  <si>
    <t>Parcial</t>
  </si>
  <si>
    <t>Predominante</t>
  </si>
  <si>
    <t>Prevalencia de anemia (%)</t>
  </si>
  <si>
    <t>Niños de 0 a 5 meses</t>
  </si>
  <si>
    <t>Niños de 0 a 59 meses</t>
  </si>
  <si>
    <t>Niños de 6 a 23 meses</t>
  </si>
  <si>
    <t>Materna (muertes por cada 1.000 nacimientos)</t>
  </si>
  <si>
    <t>Población</t>
  </si>
  <si>
    <t>Prevalencia de lactancia materna adecuada para la edad</t>
  </si>
  <si>
    <t>Riesgo</t>
  </si>
  <si>
    <t>Prevalencia del retraso del crecimiento (%)</t>
  </si>
  <si>
    <t>Menores de cinco años (muertes por cada 1.000 nacimientos)</t>
  </si>
  <si>
    <t>Prevalencia de emaciación (%)</t>
  </si>
  <si>
    <t>Mujeres en edad reproductiva</t>
  </si>
  <si>
    <t>Niño anémico (por año)</t>
  </si>
  <si>
    <t>Mujer embarazada anémica (por embarazo)</t>
  </si>
  <si>
    <t>Muerte del niño</t>
  </si>
  <si>
    <t>Niño que cumple 5 años con retraso en el crecimiento (a lo largo de su vida)</t>
  </si>
  <si>
    <t>Episodio de emaciación infantil</t>
  </si>
  <si>
    <t>Costo</t>
  </si>
  <si>
    <t>Muerte materna</t>
  </si>
  <si>
    <t>Tipo</t>
  </si>
  <si>
    <t>Todo</t>
  </si>
  <si>
    <t>Comunidad</t>
  </si>
  <si>
    <t>Centro de salud</t>
  </si>
  <si>
    <t>IYCF 1-alimentación del lactante y del niño pequeño</t>
  </si>
  <si>
    <t>IYCF 2-alimentación del lactante y del niño pequeño</t>
  </si>
  <si>
    <t>IYCF 3-alimentación del lactante y del niño pequeño</t>
  </si>
  <si>
    <t>Paquete alimentación del lactante y del niño pequeño (IYCF)</t>
  </si>
  <si>
    <t>Medios de comunicación masivos</t>
  </si>
  <si>
    <t>Población objetivo</t>
  </si>
  <si>
    <t>Añadir extensión</t>
  </si>
  <si>
    <t>Basado en la comunidad</t>
  </si>
  <si>
    <t>Por defecto</t>
  </si>
  <si>
    <t>Método de entrega</t>
  </si>
  <si>
    <t>Extensión</t>
  </si>
  <si>
    <t>Manejo de la Malnutrición Aguda Moderada (MAM)</t>
  </si>
  <si>
    <t>Programa</t>
  </si>
  <si>
    <t>Tratamiento de la MAS</t>
  </si>
  <si>
    <t>Suplemento energético-proteico equilibrado</t>
  </si>
  <si>
    <t>Suplemento con calcio</t>
  </si>
  <si>
    <t>Transferencias de efectivo</t>
  </si>
  <si>
    <t>Relación costo-cobertura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</si>
  <si>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</si>
  <si>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</si>
  <si>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</si>
  <si>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</si>
  <si>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</si>
  <si>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</si>
  <si>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</si>
  <si>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</si>
  <si>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</si>
  <si>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</si>
  <si>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</si>
  <si>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</si>
  <si>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</si>
  <si>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</si>
  <si>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Lineal (costo marginal constante) [por defecto]</t>
  </si>
  <si>
    <t>Suplementos nutricionales a base de lípidos</t>
  </si>
  <si>
    <t>Mosquiteros tratados con insecticida de larga duración</t>
  </si>
  <si>
    <t>Disminución máxima anual</t>
  </si>
  <si>
    <t>Aumento máximo anual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</si>
  <si>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</si>
  <si>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</si>
  <si>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</si>
  <si>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</si>
  <si>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</si>
  <si>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</si>
  <si>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Cobertura de saturación de la población objetivo</t>
  </si>
  <si>
    <t>Costo unitario (US$)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</si>
  <si>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</si>
  <si>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</si>
  <si>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</si>
  <si>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</si>
  <si>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</si>
  <si>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</si>
  <si>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</si>
  <si>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</si>
  <si>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Suplementos nutricionales a base de lípidos en pequeñas cantidades</t>
  </si>
  <si>
    <t>Exclusión de intervención dependiente</t>
  </si>
  <si>
    <t>Dependencia de otra intervención</t>
  </si>
  <si>
    <t>MAS</t>
  </si>
  <si>
    <t>Condición</t>
  </si>
  <si>
    <t>Amplio grupo de población</t>
  </si>
  <si>
    <t>Población general</t>
  </si>
  <si>
    <t>Mujeres en edad reproductiva no embarazadas</t>
  </si>
  <si>
    <t>Curva con costo marginal decreciente</t>
  </si>
  <si>
    <t>Curva con costo marginal creciente</t>
  </si>
  <si>
    <t>En forma de S (costo marginal decreciente y luego creciente)</t>
  </si>
  <si>
    <t>Preservativo/condón</t>
  </si>
  <si>
    <t>Efectividad</t>
  </si>
  <si>
    <t>Esterilización femenina</t>
  </si>
  <si>
    <t>Planificación Familiar Natural</t>
  </si>
  <si>
    <t>Dispositivo Intrauterino (DIU)</t>
  </si>
  <si>
    <t>Implante</t>
  </si>
  <si>
    <t>Inyectable</t>
  </si>
  <si>
    <t>Esterilización masculina</t>
  </si>
  <si>
    <t>Método</t>
  </si>
  <si>
    <t>Cápsula/píldora</t>
  </si>
  <si>
    <t>Costo proporcional</t>
  </si>
  <si>
    <t>Retiro</t>
  </si>
  <si>
    <t>Distribución</t>
  </si>
  <si>
    <t>Número de nacimiento</t>
  </si>
  <si>
    <t>Desenlaces del nacimiento</t>
  </si>
  <si>
    <t>Baja talla o retraso en el crecimiento</t>
  </si>
  <si>
    <t>Prevención de la emaciación</t>
  </si>
  <si>
    <t>Tratamiento de la emaciación</t>
  </si>
  <si>
    <t>Rango de edades</t>
  </si>
  <si>
    <t>Comportamiento</t>
  </si>
  <si>
    <t>Límites inferiores</t>
  </si>
  <si>
    <t>Razón de momios para lactancia materna adecuada</t>
  </si>
  <si>
    <t>Razón de momios para lactancia materna adecuada- inferior</t>
  </si>
  <si>
    <t>Razón de momios para lactancia materna adecuada - superior</t>
  </si>
  <si>
    <t>Razón de momios para alimentación complementaria correcta</t>
  </si>
  <si>
    <t>Razón de momios para alimentación complementaria correcta - inferior</t>
  </si>
  <si>
    <t>Razón de momios para alimentación complementaria correcta - superior</t>
  </si>
  <si>
    <t>Razón de momios para baja talla o retraso en el crecimiento</t>
  </si>
  <si>
    <t>Razón de momios para baja talla - inferior</t>
  </si>
  <si>
    <t>Razón de momios para baja talla - superior</t>
  </si>
  <si>
    <t>Límites superiores</t>
  </si>
  <si>
    <t>MAM (puntuación WHZ entre -3 y -2)-inferior</t>
  </si>
  <si>
    <t>MAM (puntuación WHZ entre -3 y -2)-superior</t>
  </si>
  <si>
    <t>Factores de riesgo materno que conducen a los resultados del nacimiento</t>
  </si>
  <si>
    <t>Razón de momios para las condiciones</t>
  </si>
  <si>
    <t>Razón de momios para las condiciones - inferior</t>
  </si>
  <si>
    <t>Razón de momios para las condiciones - superior</t>
  </si>
  <si>
    <t>Razón de momios para mujeres con anemia materna</t>
  </si>
  <si>
    <t>Razón de momios para mujeres con anemia materna-inferior</t>
  </si>
  <si>
    <t>Razón de momios para mujeres con anemia materna-superior</t>
  </si>
  <si>
    <t>Riesgo relativo según el espaciamiento de los nacimientos</t>
  </si>
  <si>
    <t>Riesgo relativo según el espaciamiento de los nacimientos-inferior</t>
  </si>
  <si>
    <t>Riesgo relativo según el espaciamiento de los nacimientos - superior</t>
  </si>
  <si>
    <t>Riesgos relativos de las causas de muerte neonatal</t>
  </si>
  <si>
    <t>Riesgos relativos de las causas de muerte neonatal - inferior</t>
  </si>
  <si>
    <t>Riesgos relativos de las causas de muerte neonatal - superior</t>
  </si>
  <si>
    <t>Riesgos para los niños que experimentan desenlaces al nacimiento</t>
  </si>
  <si>
    <t>MAS (score WHZ &lt; -3)-Inferior</t>
  </si>
  <si>
    <t>MAS (score WHZ &lt; -3)-superior</t>
  </si>
  <si>
    <t>Retraso en el crecimiento (score HAZ &lt; -2)</t>
  </si>
  <si>
    <t>Retraso en el crecimiento (score HAZ &lt; -2)-Inferior</t>
  </si>
  <si>
    <t>Retraso en el crecimiento (score HAZ &lt; -2)-superior</t>
  </si>
  <si>
    <t>Estado de anemia</t>
  </si>
  <si>
    <t>Anémico</t>
  </si>
  <si>
    <t>Situación de lactancia materna</t>
  </si>
  <si>
    <t>Causa de muerte</t>
  </si>
  <si>
    <t>Estado de HAZ (baja talla)</t>
  </si>
  <si>
    <t>Alto</t>
  </si>
  <si>
    <t>Leve</t>
  </si>
  <si>
    <t>Moderado</t>
  </si>
  <si>
    <t>No anémico</t>
  </si>
  <si>
    <t>Riesgo relativo de las causas de muerte según el estado de la anemia</t>
  </si>
  <si>
    <t>Riesgo relativo de las causas de muerte según el estado de la lactancia materna</t>
  </si>
  <si>
    <t>Riesgo relativo de las causas de muerte según la distribución de talla para la edad (retraso en el crecimiento)</t>
  </si>
  <si>
    <t>Riesgo relativo de las causas de muerte según la distribución del peso para la talla (emaciación)</t>
  </si>
  <si>
    <t>Riesgos relativos de sufrir diarrea según el estado de la lactancia materna</t>
  </si>
  <si>
    <t>Estado de la peso para la talla (WHZ)</t>
  </si>
  <si>
    <t>Emaciación</t>
  </si>
  <si>
    <t>Por programa</t>
  </si>
  <si>
    <t>Por programa - inferior</t>
  </si>
  <si>
    <t>Por programa - superior</t>
  </si>
  <si>
    <t>Diarrea (por episodio adicional)</t>
  </si>
  <si>
    <t>Diarrea (por episodio adicional) - inferior</t>
  </si>
  <si>
    <t>Diarrea (por episodio adicional) - superior</t>
  </si>
  <si>
    <t>Planificación familiar - más baja</t>
  </si>
  <si>
    <t>Planificación familiar - superior</t>
  </si>
  <si>
    <t>Para MAM por episodio adicional de diarrea</t>
  </si>
  <si>
    <t>Para MAM por episodio adicional de diarrea - inferior</t>
  </si>
  <si>
    <t>Para MAM por episodio adicional de diarrea - superior</t>
  </si>
  <si>
    <t>Para MAS por episodio adicional de diarrea</t>
  </si>
  <si>
    <t>Para MAS por episodio adicional de diarrea - inferior</t>
  </si>
  <si>
    <t>Para MAS por episodio adicional de diarrea - superior</t>
  </si>
  <si>
    <t>Para anemia por episodio adicional de diarrea grave</t>
  </si>
  <si>
    <t>Para anemia por episodio adicional de diarrea grave - inferior</t>
  </si>
  <si>
    <t>Para anemia por episodio adicional de diarrea grave - superior</t>
  </si>
  <si>
    <t>Dada la baja talla previa  (HAZ &lt; -2 en la banda de edad anterior)</t>
  </si>
  <si>
    <t>Dada a baja talla previa (HAZ &lt; -2 en la banda de edad anterior) - inferior</t>
  </si>
  <si>
    <t>Dada la baja talla previa (HAZ &lt; -2 en la banda de edad anterior) - superior</t>
  </si>
  <si>
    <t>Método madre canguro - inferior</t>
  </si>
  <si>
    <t>Método madre canguro - superior</t>
  </si>
  <si>
    <t>Suplementos nutricionales a base de lípidos: más bajos</t>
  </si>
  <si>
    <t>Suplementos nutricionales a base de lípidos - superior</t>
  </si>
  <si>
    <t>Razón de momios de lactancia materna adecuada por programa</t>
  </si>
  <si>
    <t>Razón de momios de lactancia materna adecuada por programa - inferior</t>
  </si>
  <si>
    <t>Razón de momios de lactancia materna adecuada por programa - superior</t>
  </si>
  <si>
    <t>Razón de momios para el espaciamiento óptimo de los nacimientos por programa</t>
  </si>
  <si>
    <t>Razón de momios para el espaciamiento óptimo de los nacimientos por programa - inferior</t>
  </si>
  <si>
    <t>Razón de momios para el espaciamiento óptimo de los nacimientos por programa - superior</t>
  </si>
  <si>
    <t>Razón de momios de baja talla o retraso en el crecimiento</t>
  </si>
  <si>
    <t>Otras razones de momios</t>
  </si>
  <si>
    <t>Suministro público de alimentos complementarios - inferior</t>
  </si>
  <si>
    <t>Suministro público de alimentos complementarios - superior</t>
  </si>
  <si>
    <t>Suplementación con zinc - inferior</t>
  </si>
  <si>
    <t>Suplementación con zinc- superior</t>
  </si>
  <si>
    <t>Suplementos nutricionales a base de lípidos en pequeñas cantidades: lower</t>
  </si>
  <si>
    <t>Suplementos nutricionales a base de lípidos en pequeñas cantidades - superior</t>
  </si>
  <si>
    <t>fracción afectada</t>
  </si>
  <si>
    <t>efectividad</t>
  </si>
  <si>
    <t>Razón de momios de ser anémico cuando está cubierto por la intervención</t>
  </si>
  <si>
    <t>Razón de momios de ser anémico cuando está cubierto por la intervención-menor</t>
  </si>
  <si>
    <t>Razón de momios de ser anémico cuando está cubierto por la intervención - superior</t>
  </si>
  <si>
    <t>Riesgos relativos de anemia cuando está cubierto por la intervención</t>
  </si>
  <si>
    <t>Riesgos relativos de anemia cuando está cubierto por la intervención - inferior</t>
  </si>
  <si>
    <t>Riesgos relativos de anemia cuando está cubierto por la intervención - superior</t>
  </si>
  <si>
    <t>Límite inferior</t>
  </si>
  <si>
    <t>Razón de momios de MAM cuando está cubierto por el programa</t>
  </si>
  <si>
    <t>Razón de momios de MAM cuando está cubierto por el programa - inferior</t>
  </si>
  <si>
    <t>Razón de momios de MAM cuando está cubierto por el programaa - superior</t>
  </si>
  <si>
    <t>Razón de momios de MAS cuando está cubierto por el programa</t>
  </si>
  <si>
    <t>Razón de momios de MAS cuando está cubierto por el programa - inferior</t>
  </si>
  <si>
    <t>Razón de momios de MAS cuando está cubierto por el programa - superior</t>
  </si>
  <si>
    <t>Límite superior</t>
  </si>
  <si>
    <t>Fracción afectada</t>
  </si>
  <si>
    <t>Efectividad en incidencia</t>
  </si>
  <si>
    <t>Efectividad en mortalidad</t>
  </si>
  <si>
    <t>Condición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</si>
</sst>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19</v>
      </c>
      <c r="B1" s="29" t="s">
        <v>0</v>
      </c>
      <c r="C1" s="29" t="s">
        <v>24</v>
      </c>
    </row>
    <row r="2" spans="1:3" ht="15.9" customHeight="1" x14ac:dyDescent="0.3">
      <c r="A2" s="8" t="s">
        <v>55</v>
      </c>
      <c r="B2" s="29"/>
      <c r="C2" s="29"/>
    </row>
    <row r="3" spans="1:3" ht="15.9" customHeight="1" x14ac:dyDescent="0.3">
      <c r="A3" s="1"/>
      <c r="B3" s="5" t="s">
        <v>18</v>
      </c>
      <c r="C3" s="41">
        <v>2021</v>
      </c>
    </row>
    <row r="4" spans="1:3" ht="15.9" customHeight="1" x14ac:dyDescent="0.3">
      <c r="A4" s="1"/>
      <c r="B4" s="5" t="s">
        <v>26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50</v>
      </c>
    </row>
    <row r="7" spans="1:3" ht="15" customHeight="1" x14ac:dyDescent="0.25">
      <c r="B7" s="11" t="s">
        <v>23</v>
      </c>
      <c r="C7" s="43">
        <v>343625.03515625</v>
      </c>
    </row>
    <row r="8" spans="1:3" ht="15" customHeight="1" x14ac:dyDescent="0.25">
      <c r="B8" s="5" t="s">
        <v>44</v>
      </c>
      <c r="C8" s="44">
        <v>5.5E-2</v>
      </c>
    </row>
    <row r="9" spans="1:3" ht="15" customHeight="1" x14ac:dyDescent="0.25">
      <c r="B9" s="5" t="s">
        <v>43</v>
      </c>
      <c r="C9" s="45">
        <v>0.01</v>
      </c>
    </row>
    <row r="10" spans="1:3" ht="15" customHeight="1" x14ac:dyDescent="0.25">
      <c r="B10" s="5" t="s">
        <v>56</v>
      </c>
      <c r="C10" s="45">
        <v>0.92928009033203096</v>
      </c>
    </row>
    <row r="11" spans="1:3" ht="15" customHeight="1" x14ac:dyDescent="0.25">
      <c r="B11" s="5" t="s">
        <v>49</v>
      </c>
      <c r="C11" s="45">
        <v>0.93900000000000006</v>
      </c>
    </row>
    <row r="12" spans="1:3" ht="15" customHeight="1" x14ac:dyDescent="0.25">
      <c r="B12" s="5" t="s">
        <v>41</v>
      </c>
      <c r="C12" s="45">
        <v>0.89700000000000002</v>
      </c>
    </row>
    <row r="13" spans="1:3" ht="15" customHeight="1" x14ac:dyDescent="0.25">
      <c r="B13" s="5" t="s">
        <v>62</v>
      </c>
      <c r="C13" s="45">
        <v>0.74900000000000011</v>
      </c>
    </row>
    <row r="14" spans="1:3" ht="15" customHeight="1" x14ac:dyDescent="0.25">
      <c r="B14" s="8"/>
    </row>
    <row r="15" spans="1:3" ht="15" customHeight="1" x14ac:dyDescent="0.3">
      <c r="A15" s="8" t="s">
        <v>28</v>
      </c>
      <c r="B15" s="14"/>
      <c r="C15" s="3"/>
    </row>
    <row r="16" spans="1:3" ht="15" customHeight="1" x14ac:dyDescent="0.25">
      <c r="B16" s="5" t="s">
        <v>33</v>
      </c>
      <c r="C16" s="45">
        <v>0.1</v>
      </c>
    </row>
    <row r="17" spans="1:3" ht="15" customHeight="1" x14ac:dyDescent="0.25">
      <c r="B17" s="5" t="s">
        <v>30</v>
      </c>
      <c r="C17" s="45">
        <v>0.7</v>
      </c>
    </row>
    <row r="18" spans="1:3" ht="15" customHeight="1" x14ac:dyDescent="0.25">
      <c r="B18" s="5" t="s">
        <v>31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34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12</v>
      </c>
    </row>
    <row r="23" spans="1:3" ht="15" customHeight="1" x14ac:dyDescent="0.25">
      <c r="B23" s="15" t="s">
        <v>45</v>
      </c>
      <c r="C23" s="45">
        <v>5.9700000000000003E-2</v>
      </c>
    </row>
    <row r="24" spans="1:3" ht="15" customHeight="1" x14ac:dyDescent="0.25">
      <c r="B24" s="15" t="s">
        <v>46</v>
      </c>
      <c r="C24" s="45">
        <v>0.495</v>
      </c>
    </row>
    <row r="25" spans="1:3" ht="15" customHeight="1" x14ac:dyDescent="0.25">
      <c r="B25" s="15" t="s">
        <v>47</v>
      </c>
      <c r="C25" s="45">
        <v>0.42230000000000001</v>
      </c>
    </row>
    <row r="26" spans="1:3" ht="15" customHeight="1" x14ac:dyDescent="0.25">
      <c r="B26" s="15" t="s">
        <v>48</v>
      </c>
      <c r="C26" s="45">
        <v>2.3E-2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22</v>
      </c>
      <c r="B28" s="15"/>
      <c r="C28" s="15"/>
    </row>
    <row r="29" spans="1:3" ht="14.25" customHeight="1" x14ac:dyDescent="0.25">
      <c r="B29" s="25" t="s">
        <v>27</v>
      </c>
      <c r="C29" s="45">
        <v>0.35675533525383901</v>
      </c>
    </row>
    <row r="30" spans="1:3" ht="14.25" customHeight="1" x14ac:dyDescent="0.25">
      <c r="B30" s="25" t="s">
        <v>63</v>
      </c>
      <c r="C30" s="99">
        <v>6.5910586704521698E-2</v>
      </c>
    </row>
    <row r="31" spans="1:3" ht="14.25" customHeight="1" x14ac:dyDescent="0.25">
      <c r="B31" s="25" t="s">
        <v>10</v>
      </c>
      <c r="C31" s="99">
        <v>9.262041217609189E-2</v>
      </c>
    </row>
    <row r="32" spans="1:3" ht="14.25" customHeight="1" x14ac:dyDescent="0.25">
      <c r="B32" s="25" t="s">
        <v>11</v>
      </c>
      <c r="C32" s="99">
        <v>0.48471366586554798</v>
      </c>
    </row>
    <row r="33" spans="1:5" ht="13" customHeight="1" x14ac:dyDescent="0.25">
      <c r="B33" s="27" t="s">
        <v>60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20</v>
      </c>
    </row>
    <row r="36" spans="1:5" ht="15" customHeight="1" x14ac:dyDescent="0.25">
      <c r="A36" s="8" t="s">
        <v>37</v>
      </c>
      <c r="B36" s="5"/>
    </row>
    <row r="37" spans="1:5" ht="15" customHeight="1" x14ac:dyDescent="0.25">
      <c r="B37" s="11" t="s">
        <v>38</v>
      </c>
      <c r="C37" s="43">
        <v>3.2192476903799498</v>
      </c>
    </row>
    <row r="38" spans="1:5" ht="15" customHeight="1" x14ac:dyDescent="0.25">
      <c r="B38" s="11" t="s">
        <v>35</v>
      </c>
      <c r="C38" s="43">
        <v>4.6287359324798301</v>
      </c>
      <c r="D38" s="12"/>
      <c r="E38" s="13"/>
    </row>
    <row r="39" spans="1:5" ht="15" customHeight="1" x14ac:dyDescent="0.25">
      <c r="B39" s="11" t="s">
        <v>61</v>
      </c>
      <c r="C39" s="43">
        <v>5.3157425035678498</v>
      </c>
      <c r="D39" s="12"/>
      <c r="E39" s="12"/>
    </row>
    <row r="40" spans="1:5" ht="15" customHeight="1" x14ac:dyDescent="0.25">
      <c r="B40" s="11" t="s">
        <v>36</v>
      </c>
      <c r="C40" s="100">
        <v>0.12</v>
      </c>
    </row>
    <row r="41" spans="1:5" ht="15" customHeight="1" x14ac:dyDescent="0.25">
      <c r="B41" s="11" t="s">
        <v>32</v>
      </c>
      <c r="C41" s="45">
        <v>0.12</v>
      </c>
    </row>
    <row r="42" spans="1:5" ht="15" customHeight="1" x14ac:dyDescent="0.25">
      <c r="B42" s="11" t="s">
        <v>57</v>
      </c>
      <c r="C42" s="43">
        <v>4.436204139</v>
      </c>
    </row>
    <row r="43" spans="1:5" ht="15.75" customHeight="1" x14ac:dyDescent="0.25">
      <c r="D43" s="12"/>
    </row>
    <row r="44" spans="1:5" ht="15.75" customHeight="1" x14ac:dyDescent="0.25">
      <c r="A44" s="8" t="s">
        <v>21</v>
      </c>
      <c r="D44" s="12"/>
    </row>
    <row r="45" spans="1:5" ht="15.75" customHeight="1" x14ac:dyDescent="0.25">
      <c r="B45" s="11" t="s">
        <v>52</v>
      </c>
      <c r="C45" s="45">
        <v>3.4638999999999998E-3</v>
      </c>
      <c r="D45" s="12"/>
    </row>
    <row r="46" spans="1:5" ht="15.75" customHeight="1" x14ac:dyDescent="0.25">
      <c r="B46" s="11" t="s">
        <v>51</v>
      </c>
      <c r="C46" s="45">
        <v>3.7675E-2</v>
      </c>
      <c r="D46" s="12"/>
    </row>
    <row r="47" spans="1:5" ht="15.75" customHeight="1" x14ac:dyDescent="0.25">
      <c r="B47" s="11" t="s">
        <v>59</v>
      </c>
      <c r="C47" s="45">
        <v>3.40337E-2</v>
      </c>
      <c r="D47" s="12"/>
      <c r="E47" s="13"/>
    </row>
    <row r="48" spans="1:5" ht="15" customHeight="1" x14ac:dyDescent="0.25">
      <c r="B48" s="11" t="s">
        <v>58</v>
      </c>
      <c r="C48" s="46">
        <v>0.92482740000000008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25</v>
      </c>
      <c r="D50" s="12"/>
    </row>
    <row r="51" spans="1:4" ht="15.75" customHeight="1" x14ac:dyDescent="0.25">
      <c r="B51" s="11" t="s">
        <v>17</v>
      </c>
      <c r="C51" s="100">
        <v>2.8</v>
      </c>
      <c r="D51" s="12"/>
    </row>
    <row r="52" spans="1:4" ht="15" customHeight="1" x14ac:dyDescent="0.25">
      <c r="B52" s="11" t="s">
        <v>13</v>
      </c>
      <c r="C52" s="100">
        <v>2.8</v>
      </c>
    </row>
    <row r="53" spans="1:4" ht="15.75" customHeight="1" x14ac:dyDescent="0.25">
      <c r="B53" s="11" t="s">
        <v>16</v>
      </c>
      <c r="C53" s="100">
        <v>2.8</v>
      </c>
    </row>
    <row r="54" spans="1:4" ht="15.75" customHeight="1" x14ac:dyDescent="0.25">
      <c r="B54" s="11" t="s">
        <v>14</v>
      </c>
      <c r="C54" s="100">
        <v>2.8</v>
      </c>
    </row>
    <row r="55" spans="1:4" ht="15.75" customHeight="1" x14ac:dyDescent="0.25">
      <c r="B55" s="11" t="s">
        <v>15</v>
      </c>
      <c r="C55" s="100">
        <v>2.8</v>
      </c>
    </row>
    <row r="57" spans="1:4" ht="15.75" customHeight="1" x14ac:dyDescent="0.25">
      <c r="A57" s="8" t="s">
        <v>39</v>
      </c>
    </row>
    <row r="58" spans="1:4" ht="15.75" customHeight="1" x14ac:dyDescent="0.25">
      <c r="B58" s="5" t="s">
        <v>42</v>
      </c>
      <c r="C58" s="45">
        <v>1.6428571428571431E-2</v>
      </c>
    </row>
    <row r="59" spans="1:4" ht="15.75" customHeight="1" x14ac:dyDescent="0.25">
      <c r="B59" s="11" t="s">
        <v>40</v>
      </c>
      <c r="C59" s="45">
        <v>0.62314999999999998</v>
      </c>
    </row>
    <row r="60" spans="1:4" ht="15.75" customHeight="1" x14ac:dyDescent="0.25">
      <c r="B60" s="11" t="s">
        <v>54</v>
      </c>
      <c r="C60" s="45">
        <v>4.5999999999999999E-2</v>
      </c>
    </row>
    <row r="61" spans="1:4" ht="15.75" customHeight="1" x14ac:dyDescent="0.25">
      <c r="B61" s="11" t="s">
        <v>53</v>
      </c>
      <c r="C61" s="45">
        <v>1.4E-2</v>
      </c>
    </row>
    <row r="62" spans="1:4" ht="15.75" customHeight="1" x14ac:dyDescent="0.25">
      <c r="B62" s="11" t="s">
        <v>64</v>
      </c>
      <c r="C62" s="44">
        <v>4.5343641999999899E-2</v>
      </c>
    </row>
    <row r="63" spans="1:4" ht="15.75" customHeight="1" x14ac:dyDescent="0.3">
      <c r="A63" s="4"/>
    </row>
  </sheetData>
  <sheetProtection algorithmName="SHA-512" hashValue="hhHVjCigsDWoBjc6Ydd1uKw9KpnSY+xIREEfjDS6kRiISitJ8GvMEIDmIu2Kd+7ilSWQtFuGYW6vFIjgJeZ9Og==" saltValue="Ba6d1tuZ7/IHUkoS82pi4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73</v>
      </c>
      <c r="B1" s="20" t="s">
        <v>66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67</v>
      </c>
      <c r="H1" s="18" t="s">
        <v>65</v>
      </c>
      <c r="I1" s="18" t="s">
        <v>72</v>
      </c>
    </row>
    <row r="2" spans="1:9" ht="15.75" customHeight="1" x14ac:dyDescent="0.25">
      <c r="A2" s="5">
        <f>start_year</f>
        <v>2021</v>
      </c>
      <c r="B2" s="49">
        <v>71953.26920000001</v>
      </c>
      <c r="C2" s="49">
        <v>199000</v>
      </c>
      <c r="D2" s="49">
        <v>417000</v>
      </c>
      <c r="E2" s="49">
        <v>525000</v>
      </c>
      <c r="F2" s="49">
        <v>363000</v>
      </c>
      <c r="G2" s="17">
        <f t="shared" ref="G2:G11" si="0">C2+D2+E2+F2</f>
        <v>1504000</v>
      </c>
      <c r="H2" s="17">
        <f t="shared" ref="H2:H11" si="1">(B2 + stillbirth*B2/(1000-stillbirth))/(1-abortion)</f>
        <v>82129.421516026719</v>
      </c>
      <c r="I2" s="17">
        <f t="shared" ref="I2:I11" si="2">G2-H2</f>
        <v>1421870.5784839732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71344.468800000017</v>
      </c>
      <c r="C3" s="50">
        <v>195000</v>
      </c>
      <c r="D3" s="50">
        <v>412000</v>
      </c>
      <c r="E3" s="50">
        <v>537000</v>
      </c>
      <c r="F3" s="50">
        <v>374000</v>
      </c>
      <c r="G3" s="17">
        <f t="shared" si="0"/>
        <v>1518000</v>
      </c>
      <c r="H3" s="17">
        <f t="shared" si="1"/>
        <v>81434.520155370759</v>
      </c>
      <c r="I3" s="17">
        <f t="shared" si="2"/>
        <v>1436565.4798446293</v>
      </c>
    </row>
    <row r="4" spans="1:9" ht="15.75" customHeight="1" x14ac:dyDescent="0.25">
      <c r="A4" s="5">
        <f t="shared" si="3"/>
        <v>2023</v>
      </c>
      <c r="B4" s="49">
        <v>70727.925600000002</v>
      </c>
      <c r="C4" s="50">
        <v>192000</v>
      </c>
      <c r="D4" s="50">
        <v>407000</v>
      </c>
      <c r="E4" s="50">
        <v>550000</v>
      </c>
      <c r="F4" s="50">
        <v>387000</v>
      </c>
      <c r="G4" s="17">
        <f t="shared" si="0"/>
        <v>1536000</v>
      </c>
      <c r="H4" s="17">
        <f t="shared" si="1"/>
        <v>80730.78095187615</v>
      </c>
      <c r="I4" s="17">
        <f t="shared" si="2"/>
        <v>1455269.2190481238</v>
      </c>
    </row>
    <row r="5" spans="1:9" ht="15.75" customHeight="1" x14ac:dyDescent="0.25">
      <c r="A5" s="5">
        <f t="shared" si="3"/>
        <v>2024</v>
      </c>
      <c r="B5" s="49">
        <v>70114.04800000001</v>
      </c>
      <c r="C5" s="50">
        <v>188000</v>
      </c>
      <c r="D5" s="50">
        <v>403000</v>
      </c>
      <c r="E5" s="50">
        <v>563000</v>
      </c>
      <c r="F5" s="50">
        <v>398000</v>
      </c>
      <c r="G5" s="17">
        <f t="shared" si="0"/>
        <v>1552000</v>
      </c>
      <c r="H5" s="17">
        <f t="shared" si="1"/>
        <v>80030.084336834145</v>
      </c>
      <c r="I5" s="17">
        <f t="shared" si="2"/>
        <v>1471969.915663166</v>
      </c>
    </row>
    <row r="6" spans="1:9" ht="15.75" customHeight="1" x14ac:dyDescent="0.25">
      <c r="A6" s="5">
        <f t="shared" si="3"/>
        <v>2025</v>
      </c>
      <c r="B6" s="49">
        <v>69492.618000000002</v>
      </c>
      <c r="C6" s="50">
        <v>185000</v>
      </c>
      <c r="D6" s="50">
        <v>398000</v>
      </c>
      <c r="E6" s="50">
        <v>578000</v>
      </c>
      <c r="F6" s="50">
        <v>410000</v>
      </c>
      <c r="G6" s="17">
        <f t="shared" si="0"/>
        <v>1571000</v>
      </c>
      <c r="H6" s="17">
        <f t="shared" si="1"/>
        <v>79320.767206700111</v>
      </c>
      <c r="I6" s="17">
        <f t="shared" si="2"/>
        <v>1491679.2327932999</v>
      </c>
    </row>
    <row r="7" spans="1:9" ht="15.75" customHeight="1" x14ac:dyDescent="0.25">
      <c r="A7" s="5">
        <f t="shared" si="3"/>
        <v>2026</v>
      </c>
      <c r="B7" s="49">
        <v>68805.5478</v>
      </c>
      <c r="C7" s="50">
        <v>183000</v>
      </c>
      <c r="D7" s="50">
        <v>395000</v>
      </c>
      <c r="E7" s="50">
        <v>594000</v>
      </c>
      <c r="F7" s="50">
        <v>422000</v>
      </c>
      <c r="G7" s="17">
        <f t="shared" si="0"/>
        <v>1594000</v>
      </c>
      <c r="H7" s="17">
        <f t="shared" si="1"/>
        <v>78536.526564206826</v>
      </c>
      <c r="I7" s="17">
        <f t="shared" si="2"/>
        <v>1515463.4734357931</v>
      </c>
    </row>
    <row r="8" spans="1:9" ht="15.75" customHeight="1" x14ac:dyDescent="0.25">
      <c r="A8" s="5">
        <f t="shared" si="3"/>
        <v>2027</v>
      </c>
      <c r="B8" s="49">
        <v>68111.744000000006</v>
      </c>
      <c r="C8" s="50">
        <v>181000</v>
      </c>
      <c r="D8" s="50">
        <v>390000</v>
      </c>
      <c r="E8" s="50">
        <v>610000</v>
      </c>
      <c r="F8" s="50">
        <v>434000</v>
      </c>
      <c r="G8" s="17">
        <f t="shared" si="0"/>
        <v>1615000</v>
      </c>
      <c r="H8" s="17">
        <f t="shared" si="1"/>
        <v>77744.600007246147</v>
      </c>
      <c r="I8" s="17">
        <f t="shared" si="2"/>
        <v>1537255.3999927538</v>
      </c>
    </row>
    <row r="9" spans="1:9" ht="15.75" customHeight="1" x14ac:dyDescent="0.25">
      <c r="A9" s="5">
        <f t="shared" si="3"/>
        <v>2028</v>
      </c>
      <c r="B9" s="49">
        <v>67401.325799999991</v>
      </c>
      <c r="C9" s="50">
        <v>180000</v>
      </c>
      <c r="D9" s="50">
        <v>385000</v>
      </c>
      <c r="E9" s="50">
        <v>627000</v>
      </c>
      <c r="F9" s="50">
        <v>446000</v>
      </c>
      <c r="G9" s="17">
        <f t="shared" si="0"/>
        <v>1638000</v>
      </c>
      <c r="H9" s="17">
        <f t="shared" si="1"/>
        <v>76933.709321539005</v>
      </c>
      <c r="I9" s="17">
        <f t="shared" si="2"/>
        <v>1561066.2906784611</v>
      </c>
    </row>
    <row r="10" spans="1:9" ht="15.75" customHeight="1" x14ac:dyDescent="0.25">
      <c r="A10" s="5">
        <f t="shared" si="3"/>
        <v>2029</v>
      </c>
      <c r="B10" s="49">
        <v>66684.623599999992</v>
      </c>
      <c r="C10" s="50">
        <v>179000</v>
      </c>
      <c r="D10" s="50">
        <v>381000</v>
      </c>
      <c r="E10" s="50">
        <v>646000</v>
      </c>
      <c r="F10" s="50">
        <v>458000</v>
      </c>
      <c r="G10" s="17">
        <f t="shared" si="0"/>
        <v>1664000</v>
      </c>
      <c r="H10" s="17">
        <f t="shared" si="1"/>
        <v>76115.645907051876</v>
      </c>
      <c r="I10" s="17">
        <f t="shared" si="2"/>
        <v>1587884.3540929481</v>
      </c>
    </row>
    <row r="11" spans="1:9" ht="15.75" customHeight="1" x14ac:dyDescent="0.25">
      <c r="A11" s="5">
        <f t="shared" si="3"/>
        <v>2030</v>
      </c>
      <c r="B11" s="49">
        <v>65961.805999999997</v>
      </c>
      <c r="C11" s="50">
        <v>178000</v>
      </c>
      <c r="D11" s="50">
        <v>376000</v>
      </c>
      <c r="E11" s="50">
        <v>664000</v>
      </c>
      <c r="F11" s="50">
        <v>470000</v>
      </c>
      <c r="G11" s="17">
        <f t="shared" si="0"/>
        <v>1688000</v>
      </c>
      <c r="H11" s="17">
        <f t="shared" si="1"/>
        <v>75290.602208417506</v>
      </c>
      <c r="I11" s="17">
        <f t="shared" si="2"/>
        <v>1612709.3977915824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2LgZ+hdf/IM/CxBOZGTQbtj3fVDietz3xYRiloVDis2Iohc27W+/DmxsBVLVah3+Al3kcViLkAZif0w0jMChRw==" saltValue="MVV1ltjLGLlUEg1wsnVft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"Porcentaje de muertes en el año de referencia ("&amp;start_year&amp;") atribuible a la causa"</f>
        <v>Porcentaje de muertes en el año de referencia (2021) atribuible a la causa</v>
      </c>
      <c r="B1" s="29"/>
      <c r="C1" s="29"/>
      <c r="D1" s="29"/>
      <c r="E1" s="29"/>
      <c r="F1" s="29"/>
    </row>
    <row r="2" spans="1:8" ht="27.75" customHeight="1" x14ac:dyDescent="0.3">
      <c r="A2" t="s">
        <v>1</v>
      </c>
      <c r="B2" s="29" t="s">
        <v>82</v>
      </c>
      <c r="C2" s="29" t="s">
        <v>78</v>
      </c>
      <c r="D2" s="29"/>
      <c r="E2" s="29"/>
      <c r="F2" s="29"/>
      <c r="G2" s="29"/>
    </row>
    <row r="3" spans="1:8" ht="15.75" customHeight="1" x14ac:dyDescent="0.25">
      <c r="B3" s="19" t="s">
        <v>93</v>
      </c>
      <c r="C3" s="55">
        <v>0</v>
      </c>
    </row>
    <row r="4" spans="1:8" ht="15.75" customHeight="1" x14ac:dyDescent="0.25">
      <c r="B4" s="19" t="s">
        <v>97</v>
      </c>
      <c r="C4" s="101">
        <v>2.170178993706506E-2</v>
      </c>
    </row>
    <row r="5" spans="1:8" ht="15.75" customHeight="1" x14ac:dyDescent="0.25">
      <c r="B5" s="19" t="s">
        <v>95</v>
      </c>
      <c r="C5" s="101">
        <v>2.1532519781305159E-2</v>
      </c>
    </row>
    <row r="6" spans="1:8" ht="15.75" customHeight="1" x14ac:dyDescent="0.25">
      <c r="B6" s="19" t="s">
        <v>91</v>
      </c>
      <c r="C6" s="101">
        <v>0.14348193619194979</v>
      </c>
    </row>
    <row r="7" spans="1:8" ht="15.75" customHeight="1" x14ac:dyDescent="0.25">
      <c r="B7" s="19" t="s">
        <v>96</v>
      </c>
      <c r="C7" s="101">
        <v>0.62594716150803986</v>
      </c>
    </row>
    <row r="8" spans="1:8" ht="15.75" customHeight="1" x14ac:dyDescent="0.25">
      <c r="B8" s="19" t="s">
        <v>98</v>
      </c>
      <c r="C8" s="101">
        <v>0</v>
      </c>
    </row>
    <row r="9" spans="1:8" ht="15.75" customHeight="1" x14ac:dyDescent="0.25">
      <c r="B9" s="19" t="s">
        <v>92</v>
      </c>
      <c r="C9" s="101">
        <v>0.14787139236989</v>
      </c>
    </row>
    <row r="10" spans="1:8" ht="15.75" customHeight="1" x14ac:dyDescent="0.25">
      <c r="B10" s="19" t="s">
        <v>94</v>
      </c>
      <c r="C10" s="101">
        <v>3.9465200211750297E-2</v>
      </c>
    </row>
    <row r="11" spans="1:8" ht="15.75" customHeight="1" x14ac:dyDescent="0.25">
      <c r="B11" s="27" t="s">
        <v>60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83</v>
      </c>
      <c r="B13" s="29" t="s">
        <v>82</v>
      </c>
      <c r="C13" s="102" t="s">
        <v>74</v>
      </c>
      <c r="D13" s="102" t="s">
        <v>77</v>
      </c>
      <c r="E13" s="102" t="s">
        <v>75</v>
      </c>
      <c r="F13" s="102" t="s">
        <v>76</v>
      </c>
      <c r="G13" s="19"/>
    </row>
    <row r="14" spans="1:8" ht="15.75" customHeight="1" x14ac:dyDescent="0.25">
      <c r="B14" s="19" t="s">
        <v>84</v>
      </c>
      <c r="C14" s="55">
        <v>2.7967309814960878E-3</v>
      </c>
      <c r="D14" s="55">
        <v>2.7967309814960878E-3</v>
      </c>
      <c r="E14" s="55">
        <v>2.7967309814960878E-3</v>
      </c>
      <c r="F14" s="55">
        <v>2.7967309814960878E-3</v>
      </c>
    </row>
    <row r="15" spans="1:8" ht="15.75" customHeight="1" x14ac:dyDescent="0.25">
      <c r="B15" s="19" t="s">
        <v>102</v>
      </c>
      <c r="C15" s="101">
        <v>6.2804863381864945E-2</v>
      </c>
      <c r="D15" s="101">
        <v>6.2804863381864945E-2</v>
      </c>
      <c r="E15" s="101">
        <v>6.2804863381864945E-2</v>
      </c>
      <c r="F15" s="101">
        <v>6.2804863381864945E-2</v>
      </c>
    </row>
    <row r="16" spans="1:8" ht="15.75" customHeight="1" x14ac:dyDescent="0.25">
      <c r="B16" s="19" t="s">
        <v>2</v>
      </c>
      <c r="C16" s="101">
        <v>3.4225393373684777E-2</v>
      </c>
      <c r="D16" s="101">
        <v>3.4225393373684777E-2</v>
      </c>
      <c r="E16" s="101">
        <v>3.4225393373684777E-2</v>
      </c>
      <c r="F16" s="101">
        <v>3.4225393373684777E-2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3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101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79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5">
      <c r="B21" s="19" t="s">
        <v>88</v>
      </c>
      <c r="C21" s="101">
        <v>9.9520572363490642E-2</v>
      </c>
      <c r="D21" s="101">
        <v>9.9520572363490642E-2</v>
      </c>
      <c r="E21" s="101">
        <v>9.9520572363490642E-2</v>
      </c>
      <c r="F21" s="101">
        <v>9.9520572363490642E-2</v>
      </c>
    </row>
    <row r="22" spans="1:8" ht="15.75" customHeight="1" x14ac:dyDescent="0.25">
      <c r="B22" s="19" t="s">
        <v>99</v>
      </c>
      <c r="C22" s="101">
        <v>0.80065243989946355</v>
      </c>
      <c r="D22" s="101">
        <v>0.80065243989946355</v>
      </c>
      <c r="E22" s="101">
        <v>0.80065243989946355</v>
      </c>
      <c r="F22" s="101">
        <v>0.80065243989946355</v>
      </c>
    </row>
    <row r="23" spans="1:8" ht="15.75" customHeight="1" x14ac:dyDescent="0.25">
      <c r="B23" s="27" t="s">
        <v>60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104</v>
      </c>
      <c r="B25" s="29" t="s">
        <v>82</v>
      </c>
      <c r="C25" s="29" t="s">
        <v>104</v>
      </c>
      <c r="D25" s="19"/>
      <c r="E25" s="19"/>
      <c r="F25" s="19"/>
      <c r="G25" s="19"/>
      <c r="H25" s="19"/>
    </row>
    <row r="26" spans="1:8" ht="15.75" customHeight="1" x14ac:dyDescent="0.25">
      <c r="B26" s="19" t="s">
        <v>81</v>
      </c>
      <c r="C26" s="55">
        <v>7.6356962E-2</v>
      </c>
    </row>
    <row r="27" spans="1:8" ht="15.75" customHeight="1" x14ac:dyDescent="0.25">
      <c r="B27" s="19" t="s">
        <v>89</v>
      </c>
      <c r="C27" s="101">
        <v>4.6857983999999978E-2</v>
      </c>
    </row>
    <row r="28" spans="1:8" ht="15.75" customHeight="1" x14ac:dyDescent="0.25">
      <c r="B28" s="19" t="s">
        <v>103</v>
      </c>
      <c r="C28" s="101">
        <v>8.0995853000000007E-2</v>
      </c>
    </row>
    <row r="29" spans="1:8" ht="15.75" customHeight="1" x14ac:dyDescent="0.25">
      <c r="B29" s="19" t="s">
        <v>86</v>
      </c>
      <c r="C29" s="101">
        <v>0.17572802300000001</v>
      </c>
    </row>
    <row r="30" spans="1:8" ht="15.75" customHeight="1" x14ac:dyDescent="0.25">
      <c r="B30" s="19" t="s">
        <v>4</v>
      </c>
      <c r="C30" s="101">
        <v>0.102999484</v>
      </c>
    </row>
    <row r="31" spans="1:8" ht="15.75" customHeight="1" x14ac:dyDescent="0.25">
      <c r="B31" s="19" t="s">
        <v>80</v>
      </c>
      <c r="C31" s="101">
        <v>3.8216664999999997E-2</v>
      </c>
    </row>
    <row r="32" spans="1:8" ht="15.75" customHeight="1" x14ac:dyDescent="0.25">
      <c r="B32" s="19" t="s">
        <v>85</v>
      </c>
      <c r="C32" s="101">
        <v>0.17722406800000001</v>
      </c>
    </row>
    <row r="33" spans="2:3" ht="15.75" customHeight="1" x14ac:dyDescent="0.25">
      <c r="B33" s="19" t="s">
        <v>100</v>
      </c>
      <c r="C33" s="101">
        <v>0.162579839</v>
      </c>
    </row>
    <row r="34" spans="2:3" ht="15.75" customHeight="1" x14ac:dyDescent="0.25">
      <c r="B34" s="19" t="s">
        <v>87</v>
      </c>
      <c r="C34" s="101">
        <v>0.13904112199999999</v>
      </c>
    </row>
    <row r="35" spans="2:3" ht="15.75" customHeight="1" x14ac:dyDescent="0.25">
      <c r="B35" s="27" t="s">
        <v>60</v>
      </c>
      <c r="C35" s="48">
        <f>SUM(C26:C34)</f>
        <v>0.99999999999999989</v>
      </c>
    </row>
  </sheetData>
  <sheetProtection algorithmName="SHA-512" hashValue="NUym7vIVs7Nn3FbGzsPmm22P29T7fjVovhBVYYrsSHaRnjxULnv56UHuZ7mJ4+lqwFlycN73OA6YOV76dk9Jmg==" saltValue="9XqnWgqRmoH/hUdowXlLr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"Porcentaje de población en cada categoría en el año de referencia ("&amp;start_year&amp;")"</f>
        <v>Porcentaje de población en cada categoría en el año de referencia (2021)</v>
      </c>
      <c r="B1" s="1" t="s">
        <v>120</v>
      </c>
      <c r="C1" s="11" t="s">
        <v>78</v>
      </c>
      <c r="D1" s="11" t="s">
        <v>74</v>
      </c>
      <c r="E1" s="11" t="s">
        <v>77</v>
      </c>
      <c r="F1" s="11" t="s">
        <v>75</v>
      </c>
      <c r="G1" s="11" t="s">
        <v>76</v>
      </c>
    </row>
    <row r="2" spans="1:15" ht="15.75" customHeight="1" x14ac:dyDescent="0.25">
      <c r="A2" s="3" t="s">
        <v>121</v>
      </c>
      <c r="B2" s="5" t="s">
        <v>111</v>
      </c>
      <c r="C2" s="52">
        <f>IFERROR(1-_xlfn.NORM.DIST(_xlfn.NORM.INV(SUM(C4:C5), 0, 1) + 1, 0, 1, TRUE), "")</f>
        <v>0.59390721904648225</v>
      </c>
      <c r="D2" s="52">
        <f>IFERROR(1-_xlfn.NORM.DIST(_xlfn.NORM.INV(SUM(D4:D5), 0, 1) + 1, 0, 1, TRUE), "")</f>
        <v>0.59390721904648225</v>
      </c>
      <c r="E2" s="52">
        <f>IFERROR(1-_xlfn.NORM.DIST(_xlfn.NORM.INV(SUM(E4:E5), 0, 1) + 1, 0, 1, TRUE), "")</f>
        <v>0.74371725609443617</v>
      </c>
      <c r="F2" s="52">
        <f>IFERROR(1-_xlfn.NORM.DIST(_xlfn.NORM.INV(SUM(F4:F5), 0, 1) + 1, 0, 1, TRUE), "")</f>
        <v>0.77886570805229272</v>
      </c>
      <c r="G2" s="52">
        <f>IFERROR(1-_xlfn.NORM.DIST(_xlfn.NORM.INV(SUM(G4:G5), 0, 1) + 1, 0, 1, TRUE), "")</f>
        <v>0.728895300839841</v>
      </c>
    </row>
    <row r="3" spans="1:15" ht="15.75" customHeight="1" x14ac:dyDescent="0.25">
      <c r="B3" s="5" t="s">
        <v>108</v>
      </c>
      <c r="C3" s="52">
        <f>IFERROR(_xlfn.NORM.DIST(_xlfn.NORM.INV(SUM(C4:C5), 0, 1) + 1, 0, 1, TRUE) - SUM(C4:C5), "")</f>
        <v>0.29816195795351769</v>
      </c>
      <c r="D3" s="52">
        <f>IFERROR(_xlfn.NORM.DIST(_xlfn.NORM.INV(SUM(D4:D5), 0, 1) + 1, 0, 1, TRUE) - SUM(D4:D5), "")</f>
        <v>0.29816195795351769</v>
      </c>
      <c r="E3" s="52">
        <f>IFERROR(_xlfn.NORM.DIST(_xlfn.NORM.INV(SUM(E4:E5), 0, 1) + 1, 0, 1, TRUE) - SUM(E4:E5), "")</f>
        <v>0.20730509790556384</v>
      </c>
      <c r="F3" s="52">
        <f>IFERROR(_xlfn.NORM.DIST(_xlfn.NORM.INV(SUM(F4:F5), 0, 1) + 1, 0, 1, TRUE) - SUM(F4:F5), "")</f>
        <v>0.18263459094770729</v>
      </c>
      <c r="G3" s="52">
        <f>IFERROR(_xlfn.NORM.DIST(_xlfn.NORM.INV(SUM(G4:G5), 0, 1) + 1, 0, 1, TRUE) - SUM(G4:G5), "")</f>
        <v>0.21734848016015901</v>
      </c>
    </row>
    <row r="4" spans="1:15" ht="15.75" customHeight="1" x14ac:dyDescent="0.25">
      <c r="B4" s="5" t="s">
        <v>110</v>
      </c>
      <c r="C4" s="45">
        <v>7.0136743000000001E-2</v>
      </c>
      <c r="D4" s="53">
        <v>7.0136743000000001E-2</v>
      </c>
      <c r="E4" s="53">
        <v>3.4336752999999998E-2</v>
      </c>
      <c r="F4" s="53">
        <v>2.6632337999999998E-2</v>
      </c>
      <c r="G4" s="53">
        <v>3.4629366000000002E-2</v>
      </c>
    </row>
    <row r="5" spans="1:15" ht="15.75" customHeight="1" x14ac:dyDescent="0.25">
      <c r="B5" s="5" t="s">
        <v>106</v>
      </c>
      <c r="C5" s="45">
        <v>3.7794080000000001E-2</v>
      </c>
      <c r="D5" s="53">
        <v>3.7794080000000001E-2</v>
      </c>
      <c r="E5" s="53">
        <v>1.4640893E-2</v>
      </c>
      <c r="F5" s="53">
        <v>1.1867363000000001E-2</v>
      </c>
      <c r="G5" s="53">
        <v>1.9126852999999999E-2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122</v>
      </c>
      <c r="B8" s="5" t="s">
        <v>112</v>
      </c>
      <c r="C8" s="52">
        <f>IFERROR(1-_xlfn.NORM.DIST(_xlfn.NORM.INV(SUM(C10:C11), 0, 1) + 1, 0, 1, TRUE), "")</f>
        <v>0.68723637049494946</v>
      </c>
      <c r="D8" s="52">
        <f>IFERROR(1-_xlfn.NORM.DIST(_xlfn.NORM.INV(SUM(D10:D11), 0, 1) + 1, 0, 1, TRUE), "")</f>
        <v>0.68723637049494946</v>
      </c>
      <c r="E8" s="52">
        <f>IFERROR(1-_xlfn.NORM.DIST(_xlfn.NORM.INV(SUM(E10:E11), 0, 1) + 1, 0, 1, TRUE), "")</f>
        <v>0.77701474274187576</v>
      </c>
      <c r="F8" s="52">
        <f>IFERROR(1-_xlfn.NORM.DIST(_xlfn.NORM.INV(SUM(F10:F11), 0, 1) + 1, 0, 1, TRUE), "")</f>
        <v>0.91366348272529574</v>
      </c>
      <c r="G8" s="52">
        <f>IFERROR(1-_xlfn.NORM.DIST(_xlfn.NORM.INV(SUM(G10:G11), 0, 1) + 1, 0, 1, TRUE), "")</f>
        <v>0.83498135240451932</v>
      </c>
    </row>
    <row r="9" spans="1:15" ht="15.75" customHeight="1" x14ac:dyDescent="0.25">
      <c r="B9" s="5" t="s">
        <v>109</v>
      </c>
      <c r="C9" s="52">
        <f>IFERROR(_xlfn.NORM.DIST(_xlfn.NORM.INV(SUM(C10:C11), 0, 1) + 1, 0, 1, TRUE) - SUM(C10:C11), "")</f>
        <v>0.24439238650505055</v>
      </c>
      <c r="D9" s="52">
        <f>IFERROR(_xlfn.NORM.DIST(_xlfn.NORM.INV(SUM(D10:D11), 0, 1) + 1, 0, 1, TRUE) - SUM(D10:D11), "")</f>
        <v>0.24439238650505055</v>
      </c>
      <c r="E9" s="52">
        <f>IFERROR(_xlfn.NORM.DIST(_xlfn.NORM.INV(SUM(E10:E11), 0, 1) + 1, 0, 1, TRUE) - SUM(E10:E11), "")</f>
        <v>0.18396327425812425</v>
      </c>
      <c r="F9" s="52">
        <f>IFERROR(_xlfn.NORM.DIST(_xlfn.NORM.INV(SUM(F10:F11), 0, 1) + 1, 0, 1, TRUE) - SUM(F10:F11), "")</f>
        <v>7.7288933074704261E-2</v>
      </c>
      <c r="G9" s="52">
        <f>IFERROR(_xlfn.NORM.DIST(_xlfn.NORM.INV(SUM(G10:G11), 0, 1) + 1, 0, 1, TRUE) - SUM(G10:G11), "")</f>
        <v>0.14082997959548066</v>
      </c>
    </row>
    <row r="10" spans="1:15" ht="15.75" customHeight="1" x14ac:dyDescent="0.25">
      <c r="B10" s="5" t="s">
        <v>107</v>
      </c>
      <c r="C10" s="45">
        <v>6.8371242999999998E-2</v>
      </c>
      <c r="D10" s="53">
        <v>6.8371242999999998E-2</v>
      </c>
      <c r="E10" s="53">
        <v>2.5490789E-2</v>
      </c>
      <c r="F10" s="53">
        <v>2.9429670999999999E-3</v>
      </c>
      <c r="G10" s="53">
        <v>2.0174695999999999E-2</v>
      </c>
    </row>
    <row r="11" spans="1:15" ht="15.75" customHeight="1" x14ac:dyDescent="0.25">
      <c r="B11" s="5" t="s">
        <v>119</v>
      </c>
      <c r="C11" s="45">
        <v>0</v>
      </c>
      <c r="D11" s="53">
        <v>0</v>
      </c>
      <c r="E11" s="53">
        <v>1.3531194E-2</v>
      </c>
      <c r="F11" s="53">
        <v>6.1046171000000002E-3</v>
      </c>
      <c r="G11" s="53">
        <v>4.0139720000000002E-3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105</v>
      </c>
      <c r="C13" s="11" t="s">
        <v>78</v>
      </c>
      <c r="D13" s="11" t="s">
        <v>74</v>
      </c>
      <c r="E13" s="11" t="s">
        <v>77</v>
      </c>
      <c r="F13" s="11" t="s">
        <v>75</v>
      </c>
      <c r="G13" s="11" t="s">
        <v>76</v>
      </c>
      <c r="H13" s="18" t="s">
        <v>113</v>
      </c>
      <c r="I13" s="18" t="s">
        <v>114</v>
      </c>
      <c r="J13" s="18" t="s">
        <v>115</v>
      </c>
      <c r="K13" s="18" t="s">
        <v>116</v>
      </c>
      <c r="L13" s="18" t="s">
        <v>68</v>
      </c>
      <c r="M13" s="18" t="s">
        <v>69</v>
      </c>
      <c r="N13" s="18" t="s">
        <v>70</v>
      </c>
      <c r="O13" s="18" t="s">
        <v>71</v>
      </c>
    </row>
    <row r="14" spans="1:15" ht="15.75" customHeight="1" x14ac:dyDescent="0.25">
      <c r="B14" s="11" t="s">
        <v>117</v>
      </c>
      <c r="C14" s="51">
        <v>0.40326360550000012</v>
      </c>
      <c r="D14" s="54">
        <v>0.41716673795999992</v>
      </c>
      <c r="E14" s="54">
        <v>0.41716673795999992</v>
      </c>
      <c r="F14" s="54">
        <v>0.180481621654</v>
      </c>
      <c r="G14" s="54">
        <v>0.180481621654</v>
      </c>
      <c r="H14" s="45">
        <v>0.28399999999999997</v>
      </c>
      <c r="I14" s="55">
        <v>0.28399999999999997</v>
      </c>
      <c r="J14" s="55">
        <v>0.28399999999999997</v>
      </c>
      <c r="K14" s="55">
        <v>0.28399999999999997</v>
      </c>
      <c r="L14" s="45">
        <v>0.27200000000000002</v>
      </c>
      <c r="M14" s="55">
        <v>0.27200000000000002</v>
      </c>
      <c r="N14" s="55">
        <v>0.27200000000000002</v>
      </c>
      <c r="O14" s="55">
        <v>0.27200000000000002</v>
      </c>
    </row>
    <row r="15" spans="1:15" ht="15.75" customHeight="1" x14ac:dyDescent="0.25">
      <c r="B15" s="11" t="s">
        <v>118</v>
      </c>
      <c r="C15" s="52">
        <f t="shared" ref="C15:O15" si="0">iron_deficiency_anaemia*C14</f>
        <v>0.25129371576732507</v>
      </c>
      <c r="D15" s="52">
        <f t="shared" si="0"/>
        <v>0.25995745275977394</v>
      </c>
      <c r="E15" s="52">
        <f t="shared" si="0"/>
        <v>0.25995745275977394</v>
      </c>
      <c r="F15" s="52">
        <f t="shared" si="0"/>
        <v>0.11246712253369009</v>
      </c>
      <c r="G15" s="52">
        <f t="shared" si="0"/>
        <v>0.11246712253369009</v>
      </c>
      <c r="H15" s="52">
        <f t="shared" si="0"/>
        <v>0.17697459999999998</v>
      </c>
      <c r="I15" s="52">
        <f t="shared" si="0"/>
        <v>0.17697459999999998</v>
      </c>
      <c r="J15" s="52">
        <f t="shared" si="0"/>
        <v>0.17697459999999998</v>
      </c>
      <c r="K15" s="52">
        <f t="shared" si="0"/>
        <v>0.17697459999999998</v>
      </c>
      <c r="L15" s="52">
        <f t="shared" si="0"/>
        <v>0.1694968</v>
      </c>
      <c r="M15" s="52">
        <f t="shared" si="0"/>
        <v>0.1694968</v>
      </c>
      <c r="N15" s="52">
        <f t="shared" si="0"/>
        <v>0.1694968</v>
      </c>
      <c r="O15" s="52">
        <f t="shared" si="0"/>
        <v>0.1694968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h2PdqaT/ZGl5I2ltReqGMXcvLbozjTK5Lw1z1MQ6NVKA2+upp5k1ip/0RmkNCxD3Y5S7uJxBbCydd2+3xFqwqw==" saltValue="3LMJMu9aNQb0iMxH9pU8/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"Porcentaje de niños en cada categoría en el año de referencia ("&amp;start_year&amp;")"</f>
        <v>Porcentaje de niños en cada categoría en el año de referencia (2021)</v>
      </c>
      <c r="B1" s="1" t="s">
        <v>120</v>
      </c>
      <c r="C1" s="8" t="s">
        <v>78</v>
      </c>
      <c r="D1" s="8" t="s">
        <v>74</v>
      </c>
      <c r="E1" s="8" t="s">
        <v>77</v>
      </c>
      <c r="F1" s="8" t="s">
        <v>75</v>
      </c>
      <c r="G1" s="8" t="s">
        <v>76</v>
      </c>
    </row>
    <row r="2" spans="1:7" x14ac:dyDescent="0.25">
      <c r="A2" s="3" t="s">
        <v>123</v>
      </c>
      <c r="B2" s="3" t="s">
        <v>124</v>
      </c>
      <c r="C2" s="45">
        <v>0.57374923709999992</v>
      </c>
      <c r="D2" s="53">
        <v>0.21961842000000001</v>
      </c>
      <c r="E2" s="53"/>
      <c r="F2" s="53"/>
      <c r="G2" s="53"/>
    </row>
    <row r="3" spans="1:7" x14ac:dyDescent="0.25">
      <c r="B3" s="3" t="s">
        <v>127</v>
      </c>
      <c r="C3" s="53">
        <v>0.32482139999999998</v>
      </c>
      <c r="D3" s="53">
        <v>0.29721885999999997</v>
      </c>
      <c r="E3" s="53"/>
      <c r="F3" s="53"/>
      <c r="G3" s="53"/>
    </row>
    <row r="4" spans="1:7" x14ac:dyDescent="0.25">
      <c r="B4" s="3" t="s">
        <v>126</v>
      </c>
      <c r="C4" s="53">
        <v>5.2271561999999987E-2</v>
      </c>
      <c r="D4" s="53">
        <v>0.18033508000000001</v>
      </c>
      <c r="E4" s="53">
        <v>0.56077891588211104</v>
      </c>
      <c r="F4" s="53">
        <v>0.14643003046512601</v>
      </c>
      <c r="G4" s="53"/>
    </row>
    <row r="5" spans="1:7" x14ac:dyDescent="0.25">
      <c r="B5" s="3" t="s">
        <v>125</v>
      </c>
      <c r="C5" s="52">
        <v>4.9157795910000003E-2</v>
      </c>
      <c r="D5" s="52">
        <v>0.30282763000000001</v>
      </c>
      <c r="E5" s="52">
        <f>1-SUM(E2:E4)</f>
        <v>0.43922108411788896</v>
      </c>
      <c r="F5" s="52">
        <f>1-SUM(F2:F4)</f>
        <v>0.85356996953487396</v>
      </c>
      <c r="G5" s="52">
        <f>1-SUM(G2:G4)</f>
        <v>1</v>
      </c>
    </row>
  </sheetData>
  <sheetProtection algorithmName="SHA-512" hashValue="YR2WOO2PtUtQamoTxe+ib/+I8Uw7w0/istw3EjWArYkj2Jwr74cWXKPjfwmySRwfXnYInnyT3RQlVTa8bvmrMQ==" saltValue="icVoSdEoBjarIE6dauprx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135</v>
      </c>
      <c r="B1" s="4" t="s">
        <v>133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136</v>
      </c>
      <c r="B2" s="9" t="s">
        <v>130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138</v>
      </c>
      <c r="B4" s="9" t="s">
        <v>130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128</v>
      </c>
      <c r="B6" s="9" t="s">
        <v>130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104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134</v>
      </c>
      <c r="B10" s="11" t="s">
        <v>129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131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37</v>
      </c>
      <c r="B13" s="11" t="s">
        <v>137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132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U/sH0VtIgQUnCQ5+r3D7yr4jPBLUGrP7prPBLlIcpCb+Mn9JgiJxvSDOlTa+Cgx2oLW8xZ3FkTcUPRkeIZGWRw==" saltValue="dGexbL5/GeIl05YqCan/5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147</v>
      </c>
      <c r="B1" s="4" t="s">
        <v>145</v>
      </c>
    </row>
    <row r="2" spans="1:2" ht="13.25" customHeight="1" x14ac:dyDescent="0.25">
      <c r="A2" s="8" t="s">
        <v>144</v>
      </c>
      <c r="B2" s="41">
        <v>10</v>
      </c>
    </row>
    <row r="3" spans="1:2" ht="13.25" customHeight="1" x14ac:dyDescent="0.25">
      <c r="A3" s="8" t="s">
        <v>143</v>
      </c>
      <c r="B3" s="41">
        <v>10</v>
      </c>
    </row>
    <row r="4" spans="1:2" ht="13.25" customHeight="1" x14ac:dyDescent="0.25">
      <c r="A4" s="8" t="s">
        <v>142</v>
      </c>
      <c r="B4" s="41">
        <v>10</v>
      </c>
    </row>
    <row r="5" spans="1:2" ht="13.25" customHeight="1" x14ac:dyDescent="0.25">
      <c r="A5" s="8" t="s">
        <v>146</v>
      </c>
      <c r="B5" s="41">
        <v>10</v>
      </c>
    </row>
    <row r="6" spans="1:2" ht="13.25" customHeight="1" x14ac:dyDescent="0.25">
      <c r="A6" s="8" t="s">
        <v>140</v>
      </c>
      <c r="B6" s="41">
        <v>10</v>
      </c>
    </row>
    <row r="7" spans="1:2" ht="13.25" customHeight="1" x14ac:dyDescent="0.25">
      <c r="A7" s="8" t="s">
        <v>141</v>
      </c>
      <c r="B7" s="41">
        <v>10</v>
      </c>
    </row>
  </sheetData>
  <sheetProtection algorithmName="SHA-512" hashValue="I6OzRhzaYFjpSzDA7/DDNiI8pLtx9f4OUm2bmb6age4RFYHOa0rqqbTsL519o36UK4MmY8CbibdVAIMWIwM6ug==" saltValue="aDK+7Y41YqMLESNPQ/k+I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154</v>
      </c>
      <c r="B1" s="36" t="s">
        <v>156</v>
      </c>
      <c r="C1" s="36" t="s">
        <v>150</v>
      </c>
      <c r="D1" s="36" t="s">
        <v>149</v>
      </c>
      <c r="E1" s="36" t="s">
        <v>155</v>
      </c>
    </row>
    <row r="2" spans="1:5" ht="13" customHeight="1" x14ac:dyDescent="0.3">
      <c r="A2" s="34" t="s">
        <v>151</v>
      </c>
      <c r="B2" s="32" t="s">
        <v>104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78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74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77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75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148</v>
      </c>
      <c r="C7" s="31"/>
      <c r="D7" s="30"/>
      <c r="E7" s="47"/>
    </row>
    <row r="9" spans="1:5" ht="13" customHeight="1" x14ac:dyDescent="0.3">
      <c r="A9" s="34" t="s">
        <v>152</v>
      </c>
      <c r="B9" s="32" t="s">
        <v>104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78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74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77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75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148</v>
      </c>
      <c r="C14" s="31"/>
      <c r="D14" s="30"/>
      <c r="E14" s="47"/>
    </row>
    <row r="16" spans="1:5" ht="13" customHeight="1" x14ac:dyDescent="0.3">
      <c r="A16" s="34" t="s">
        <v>153</v>
      </c>
      <c r="B16" s="32" t="s">
        <v>104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78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74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77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75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148</v>
      </c>
      <c r="C21" s="31"/>
      <c r="D21" s="30"/>
      <c r="E21" s="47"/>
    </row>
  </sheetData>
  <sheetProtection algorithmName="SHA-512" hashValue="Bo5lOrg9Hbu4la/Lom6u3Ns96BqAW0zER1OV6psoU1qJDQ6dvMQ2a+xGm09arsPqMXFWIZex30DWXmedXL0+kw==" saltValue="oG5RJ23TODQHZcBl/vMiHQ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159</v>
      </c>
      <c r="C1" s="40" t="s">
        <v>161</v>
      </c>
      <c r="D1" s="40" t="s">
        <v>157</v>
      </c>
    </row>
    <row r="2" spans="1:4" ht="13" customHeight="1" x14ac:dyDescent="0.3">
      <c r="A2" s="40" t="s">
        <v>163</v>
      </c>
      <c r="B2" s="32" t="s">
        <v>164</v>
      </c>
      <c r="C2" s="32" t="s">
        <v>162</v>
      </c>
      <c r="D2" s="47"/>
    </row>
    <row r="3" spans="1:4" ht="13" customHeight="1" x14ac:dyDescent="0.3">
      <c r="A3" s="40" t="s">
        <v>160</v>
      </c>
      <c r="B3" s="32" t="s">
        <v>150</v>
      </c>
      <c r="C3" s="32" t="s">
        <v>158</v>
      </c>
      <c r="D3" s="47"/>
    </row>
  </sheetData>
  <sheetProtection algorithmName="SHA-512" hashValue="8kT/rWzaXrzwi7mh94LHNYHnqgV5qe8PJbE5wOL14R3+yXgJVpWoH/cc2lv2PkDcixz+Ng9e644P9lnKAirNGA==" saltValue="gd+Qt6s4KR2LC3ccgLz9E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163</v>
      </c>
      <c r="B1" s="22" t="str">
        <f>"Cobertura de referencia ("&amp;start_year&amp;")"</f>
        <v>Cobertura de referencia (2021)</v>
      </c>
      <c r="C1" s="22" t="s">
        <v>194</v>
      </c>
      <c r="D1" s="22" t="s">
        <v>195</v>
      </c>
      <c r="E1" s="22" t="s">
        <v>168</v>
      </c>
      <c r="F1" s="22" t="s">
        <v>187</v>
      </c>
      <c r="G1" s="22" t="s">
        <v>186</v>
      </c>
    </row>
    <row r="2" spans="1:7" ht="15.75" customHeight="1" x14ac:dyDescent="0.25">
      <c r="A2" s="5" t="s">
        <v>165</v>
      </c>
      <c r="B2" s="45">
        <v>0.31997748720779601</v>
      </c>
      <c r="C2" s="98">
        <v>0.95</v>
      </c>
      <c r="D2" s="56">
        <v>66.2077864022162</v>
      </c>
      <c r="E2" s="56" t="s">
        <v>183</v>
      </c>
      <c r="F2" s="98">
        <v>1</v>
      </c>
      <c r="G2" s="98">
        <v>1</v>
      </c>
    </row>
    <row r="3" spans="1:7" ht="15.75" customHeight="1" x14ac:dyDescent="0.25">
      <c r="A3" s="5" t="s">
        <v>166</v>
      </c>
      <c r="B3" s="45">
        <v>0</v>
      </c>
      <c r="C3" s="98">
        <v>0.95</v>
      </c>
      <c r="D3" s="56">
        <v>40.063438578113967</v>
      </c>
      <c r="E3" s="56" t="s">
        <v>183</v>
      </c>
      <c r="F3" s="98">
        <v>1</v>
      </c>
      <c r="G3" s="98">
        <v>1</v>
      </c>
    </row>
    <row r="4" spans="1:7" ht="15.75" customHeight="1" x14ac:dyDescent="0.25">
      <c r="A4" s="5" t="s">
        <v>167</v>
      </c>
      <c r="B4" s="98">
        <v>0</v>
      </c>
      <c r="C4" s="98">
        <v>0.95</v>
      </c>
      <c r="D4" s="56">
        <v>542.61982788724652</v>
      </c>
      <c r="E4" s="56" t="s">
        <v>183</v>
      </c>
      <c r="F4" s="98">
        <v>1</v>
      </c>
      <c r="G4" s="98">
        <v>1</v>
      </c>
    </row>
    <row r="5" spans="1:7" ht="15.75" customHeight="1" x14ac:dyDescent="0.25">
      <c r="A5" s="5" t="s">
        <v>169</v>
      </c>
      <c r="B5" s="98">
        <v>0</v>
      </c>
      <c r="C5" s="98">
        <v>0.95</v>
      </c>
      <c r="D5" s="56">
        <v>6.5039724560692287</v>
      </c>
      <c r="E5" s="56" t="s">
        <v>183</v>
      </c>
      <c r="F5" s="98">
        <v>1</v>
      </c>
      <c r="G5" s="98">
        <v>1</v>
      </c>
    </row>
    <row r="6" spans="1:7" ht="15.75" customHeight="1" x14ac:dyDescent="0.25">
      <c r="A6" s="5" t="s">
        <v>170</v>
      </c>
      <c r="B6" s="98">
        <v>0</v>
      </c>
      <c r="C6" s="98">
        <v>0.95</v>
      </c>
      <c r="D6" s="56">
        <v>99.99</v>
      </c>
      <c r="E6" s="56" t="s">
        <v>183</v>
      </c>
      <c r="F6" s="98">
        <v>1</v>
      </c>
      <c r="G6" s="98">
        <v>1</v>
      </c>
    </row>
    <row r="7" spans="1:7" ht="15.75" customHeight="1" x14ac:dyDescent="0.25">
      <c r="A7" s="5" t="s">
        <v>171</v>
      </c>
      <c r="B7" s="98">
        <v>0</v>
      </c>
      <c r="C7" s="98">
        <v>0.95</v>
      </c>
      <c r="D7" s="56">
        <v>99.99</v>
      </c>
      <c r="E7" s="56" t="s">
        <v>183</v>
      </c>
      <c r="F7" s="98">
        <v>1</v>
      </c>
      <c r="G7" s="98">
        <v>1</v>
      </c>
    </row>
    <row r="8" spans="1:7" ht="15.75" customHeight="1" x14ac:dyDescent="0.25">
      <c r="A8" s="5" t="s">
        <v>172</v>
      </c>
      <c r="B8" s="98">
        <v>0</v>
      </c>
      <c r="C8" s="98">
        <v>0.95</v>
      </c>
      <c r="D8" s="56">
        <v>99.99</v>
      </c>
      <c r="E8" s="56" t="s">
        <v>183</v>
      </c>
      <c r="F8" s="98">
        <v>1</v>
      </c>
      <c r="G8" s="98">
        <v>1</v>
      </c>
    </row>
    <row r="9" spans="1:7" ht="15.75" customHeight="1" x14ac:dyDescent="0.25">
      <c r="A9" s="5" t="s">
        <v>173</v>
      </c>
      <c r="B9" s="98">
        <v>0</v>
      </c>
      <c r="C9" s="98">
        <v>0.95</v>
      </c>
      <c r="D9" s="56">
        <v>99.99</v>
      </c>
      <c r="E9" s="56" t="s">
        <v>183</v>
      </c>
      <c r="F9" s="98">
        <v>1</v>
      </c>
      <c r="G9" s="98">
        <v>1</v>
      </c>
    </row>
    <row r="10" spans="1:7" ht="15.75" customHeight="1" x14ac:dyDescent="0.25">
      <c r="A10" s="11" t="s">
        <v>174</v>
      </c>
      <c r="B10" s="45">
        <v>0</v>
      </c>
      <c r="C10" s="98">
        <v>0.95</v>
      </c>
      <c r="D10" s="56">
        <v>13.195738021909881</v>
      </c>
      <c r="E10" s="56" t="s">
        <v>183</v>
      </c>
      <c r="F10" s="98">
        <v>1</v>
      </c>
      <c r="G10" s="98">
        <v>1</v>
      </c>
    </row>
    <row r="11" spans="1:7" ht="15.75" customHeight="1" x14ac:dyDescent="0.25">
      <c r="A11" s="11" t="s">
        <v>175</v>
      </c>
      <c r="B11" s="98">
        <v>0</v>
      </c>
      <c r="C11" s="98">
        <v>0.95</v>
      </c>
      <c r="D11" s="56">
        <v>13.195738021909881</v>
      </c>
      <c r="E11" s="56" t="s">
        <v>183</v>
      </c>
      <c r="F11" s="98">
        <v>1</v>
      </c>
      <c r="G11" s="98">
        <v>1</v>
      </c>
    </row>
    <row r="12" spans="1:7" ht="15.75" customHeight="1" x14ac:dyDescent="0.25">
      <c r="A12" s="11" t="s">
        <v>176</v>
      </c>
      <c r="B12" s="98">
        <v>0</v>
      </c>
      <c r="C12" s="98">
        <v>0.95</v>
      </c>
      <c r="D12" s="56">
        <v>13.195738021909881</v>
      </c>
      <c r="E12" s="56" t="s">
        <v>183</v>
      </c>
      <c r="F12" s="98">
        <v>1</v>
      </c>
      <c r="G12" s="98">
        <v>1</v>
      </c>
    </row>
    <row r="13" spans="1:7" ht="15.75" customHeight="1" x14ac:dyDescent="0.25">
      <c r="A13" s="11" t="s">
        <v>177</v>
      </c>
      <c r="B13" s="98">
        <v>0</v>
      </c>
      <c r="C13" s="98">
        <v>0.95</v>
      </c>
      <c r="D13" s="56">
        <v>13.195738021909881</v>
      </c>
      <c r="E13" s="56" t="s">
        <v>183</v>
      </c>
      <c r="F13" s="98">
        <v>1</v>
      </c>
      <c r="G13" s="98">
        <v>1</v>
      </c>
    </row>
    <row r="14" spans="1:7" ht="15.75" customHeight="1" x14ac:dyDescent="0.25">
      <c r="A14" s="5" t="s">
        <v>178</v>
      </c>
      <c r="B14" s="45">
        <v>0</v>
      </c>
      <c r="C14" s="98">
        <v>0.95</v>
      </c>
      <c r="D14" s="56">
        <v>13.195738021909881</v>
      </c>
      <c r="E14" s="56" t="s">
        <v>183</v>
      </c>
      <c r="F14" s="98">
        <v>1</v>
      </c>
      <c r="G14" s="98">
        <v>1</v>
      </c>
    </row>
    <row r="15" spans="1:7" ht="15.75" customHeight="1" x14ac:dyDescent="0.25">
      <c r="A15" s="5" t="s">
        <v>179</v>
      </c>
      <c r="B15" s="98">
        <v>0</v>
      </c>
      <c r="C15" s="98">
        <v>0.95</v>
      </c>
      <c r="D15" s="56">
        <v>13.195738021909881</v>
      </c>
      <c r="E15" s="56" t="s">
        <v>183</v>
      </c>
      <c r="F15" s="98">
        <v>1</v>
      </c>
      <c r="G15" s="98">
        <v>1</v>
      </c>
    </row>
    <row r="16" spans="1:7" ht="15.75" customHeight="1" x14ac:dyDescent="0.25">
      <c r="A16" s="5" t="s">
        <v>180</v>
      </c>
      <c r="B16" s="45">
        <v>0.52596165546264995</v>
      </c>
      <c r="C16" s="98">
        <v>0.95</v>
      </c>
      <c r="D16" s="56">
        <v>0.90250382180522548</v>
      </c>
      <c r="E16" s="56" t="s">
        <v>183</v>
      </c>
      <c r="F16" s="98">
        <v>1</v>
      </c>
      <c r="G16" s="98">
        <v>1</v>
      </c>
    </row>
    <row r="17" spans="1:7" ht="15.75" customHeight="1" x14ac:dyDescent="0.25">
      <c r="A17" s="5" t="s">
        <v>181</v>
      </c>
      <c r="B17" s="98">
        <v>0</v>
      </c>
      <c r="C17" s="98">
        <v>0.95</v>
      </c>
      <c r="D17" s="56">
        <v>0.1369044839662158</v>
      </c>
      <c r="E17" s="56" t="s">
        <v>183</v>
      </c>
      <c r="F17" s="98">
        <v>1</v>
      </c>
      <c r="G17" s="98">
        <v>1</v>
      </c>
    </row>
    <row r="18" spans="1:7" ht="15.9" customHeight="1" x14ac:dyDescent="0.25">
      <c r="A18" s="5" t="s">
        <v>151</v>
      </c>
      <c r="B18" s="98">
        <v>0</v>
      </c>
      <c r="C18" s="98">
        <v>0.95</v>
      </c>
      <c r="D18" s="56">
        <v>12.47074045559749</v>
      </c>
      <c r="E18" s="56" t="s">
        <v>183</v>
      </c>
      <c r="F18" s="98">
        <v>1</v>
      </c>
      <c r="G18" s="98">
        <v>1</v>
      </c>
    </row>
    <row r="19" spans="1:7" ht="15.75" customHeight="1" x14ac:dyDescent="0.25">
      <c r="A19" s="5" t="s">
        <v>152</v>
      </c>
      <c r="B19" s="98">
        <v>0</v>
      </c>
      <c r="C19" s="98">
        <v>0.95</v>
      </c>
      <c r="D19" s="56">
        <v>12.47074045559749</v>
      </c>
      <c r="E19" s="56" t="s">
        <v>183</v>
      </c>
      <c r="F19" s="98">
        <v>1</v>
      </c>
      <c r="G19" s="98">
        <v>1</v>
      </c>
    </row>
    <row r="20" spans="1:7" ht="15.75" customHeight="1" x14ac:dyDescent="0.25">
      <c r="A20" s="5" t="s">
        <v>153</v>
      </c>
      <c r="B20" s="98">
        <v>0</v>
      </c>
      <c r="C20" s="98">
        <v>0.95</v>
      </c>
      <c r="D20" s="56">
        <v>99.99</v>
      </c>
      <c r="E20" s="56" t="s">
        <v>183</v>
      </c>
      <c r="F20" s="98">
        <v>1</v>
      </c>
      <c r="G20" s="98">
        <v>1</v>
      </c>
    </row>
    <row r="21" spans="1:7" ht="15.75" customHeight="1" x14ac:dyDescent="0.25">
      <c r="A21" s="5" t="s">
        <v>182</v>
      </c>
      <c r="B21" s="45">
        <v>0.25723439999999997</v>
      </c>
      <c r="C21" s="98">
        <v>0.95</v>
      </c>
      <c r="D21" s="56">
        <v>68.582775194044444</v>
      </c>
      <c r="E21" s="56" t="s">
        <v>183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22.867873379757981</v>
      </c>
      <c r="E22" s="56" t="s">
        <v>183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4.8444414140000003E-2</v>
      </c>
      <c r="C23" s="98">
        <v>0.95</v>
      </c>
      <c r="D23" s="56">
        <v>4.3940617735474108</v>
      </c>
      <c r="E23" s="56" t="s">
        <v>183</v>
      </c>
      <c r="F23" s="98">
        <v>1</v>
      </c>
      <c r="G23" s="98">
        <v>1</v>
      </c>
    </row>
    <row r="24" spans="1:7" ht="15.75" customHeight="1" x14ac:dyDescent="0.25">
      <c r="A24" s="5" t="s">
        <v>188</v>
      </c>
      <c r="B24" s="45">
        <v>0.79005556354260809</v>
      </c>
      <c r="C24" s="98">
        <v>0.95</v>
      </c>
      <c r="D24" s="56">
        <v>99.99</v>
      </c>
      <c r="E24" s="56" t="s">
        <v>183</v>
      </c>
      <c r="F24" s="98">
        <v>1</v>
      </c>
      <c r="G24" s="98">
        <v>1</v>
      </c>
    </row>
    <row r="25" spans="1:7" ht="15.75" customHeight="1" x14ac:dyDescent="0.25">
      <c r="A25" s="5" t="s">
        <v>189</v>
      </c>
      <c r="B25" s="98">
        <v>0</v>
      </c>
      <c r="C25" s="98">
        <v>0.95</v>
      </c>
      <c r="D25" s="56">
        <v>99.99</v>
      </c>
      <c r="E25" s="56" t="s">
        <v>183</v>
      </c>
      <c r="F25" s="98">
        <v>1</v>
      </c>
      <c r="G25" s="98">
        <v>1</v>
      </c>
    </row>
    <row r="26" spans="1:7" ht="15.75" customHeight="1" x14ac:dyDescent="0.25">
      <c r="A26" s="5" t="s">
        <v>190</v>
      </c>
      <c r="B26" s="45">
        <v>0</v>
      </c>
      <c r="C26" s="98">
        <v>0.95</v>
      </c>
      <c r="D26" s="56">
        <v>99.99</v>
      </c>
      <c r="E26" s="56" t="s">
        <v>183</v>
      </c>
      <c r="F26" s="98">
        <v>1</v>
      </c>
      <c r="G26" s="98">
        <v>1</v>
      </c>
    </row>
    <row r="27" spans="1:7" ht="15.75" customHeight="1" x14ac:dyDescent="0.25">
      <c r="A27" s="5" t="s">
        <v>191</v>
      </c>
      <c r="B27" s="45">
        <v>0.283847915193504</v>
      </c>
      <c r="C27" s="98">
        <v>0.95</v>
      </c>
      <c r="D27" s="56">
        <v>18.764182705510279</v>
      </c>
      <c r="E27" s="56" t="s">
        <v>183</v>
      </c>
      <c r="F27" s="98">
        <v>1</v>
      </c>
      <c r="G27" s="98">
        <v>1</v>
      </c>
    </row>
    <row r="28" spans="1:7" ht="15.75" customHeight="1" x14ac:dyDescent="0.25">
      <c r="A28" s="5" t="s">
        <v>192</v>
      </c>
      <c r="B28" s="45">
        <v>0.1737744</v>
      </c>
      <c r="C28" s="98">
        <v>0.95</v>
      </c>
      <c r="D28" s="56">
        <v>99.99</v>
      </c>
      <c r="E28" s="56" t="s">
        <v>183</v>
      </c>
      <c r="F28" s="98">
        <v>1</v>
      </c>
      <c r="G28" s="98">
        <v>1</v>
      </c>
    </row>
    <row r="29" spans="1:7" ht="15.75" customHeight="1" x14ac:dyDescent="0.25">
      <c r="A29" s="5" t="s">
        <v>193</v>
      </c>
      <c r="B29" s="45">
        <v>0</v>
      </c>
      <c r="C29" s="98">
        <v>0.95</v>
      </c>
      <c r="D29" s="56">
        <v>132.3139429353005</v>
      </c>
      <c r="E29" s="56" t="s">
        <v>183</v>
      </c>
      <c r="F29" s="98">
        <v>1</v>
      </c>
      <c r="G29" s="98">
        <v>1</v>
      </c>
    </row>
    <row r="30" spans="1:7" ht="15.75" customHeight="1" x14ac:dyDescent="0.25">
      <c r="A30" s="5" t="s">
        <v>204</v>
      </c>
      <c r="B30" s="98">
        <v>0</v>
      </c>
      <c r="C30" s="98">
        <v>0.95</v>
      </c>
      <c r="D30" s="56">
        <v>99</v>
      </c>
      <c r="E30" s="56" t="s">
        <v>183</v>
      </c>
      <c r="F30" s="98">
        <v>1</v>
      </c>
      <c r="G30" s="98">
        <v>1</v>
      </c>
    </row>
    <row r="31" spans="1:7" ht="15.75" customHeight="1" x14ac:dyDescent="0.25">
      <c r="A31" s="5" t="s">
        <v>164</v>
      </c>
      <c r="B31" s="45">
        <v>0</v>
      </c>
      <c r="C31" s="98">
        <v>0.95</v>
      </c>
      <c r="D31" s="56">
        <v>1.1924310040780739</v>
      </c>
      <c r="E31" s="56" t="s">
        <v>183</v>
      </c>
      <c r="F31" s="98">
        <v>1</v>
      </c>
      <c r="G31" s="98">
        <v>1</v>
      </c>
    </row>
    <row r="32" spans="1:7" ht="15.75" customHeight="1" x14ac:dyDescent="0.25">
      <c r="A32" s="5" t="s">
        <v>196</v>
      </c>
      <c r="B32" s="45">
        <v>0.21961842000000001</v>
      </c>
      <c r="C32" s="98">
        <v>0.95</v>
      </c>
      <c r="D32" s="56">
        <v>1.956691543072911</v>
      </c>
      <c r="E32" s="56" t="s">
        <v>183</v>
      </c>
      <c r="F32" s="98">
        <v>1</v>
      </c>
      <c r="G32" s="98">
        <v>1</v>
      </c>
    </row>
    <row r="33" spans="1:7" ht="15.75" customHeight="1" x14ac:dyDescent="0.25">
      <c r="A33" s="5" t="s">
        <v>197</v>
      </c>
      <c r="B33" s="45">
        <v>0</v>
      </c>
      <c r="C33" s="98">
        <v>0.95</v>
      </c>
      <c r="D33" s="56">
        <v>99.99</v>
      </c>
      <c r="E33" s="56" t="s">
        <v>183</v>
      </c>
      <c r="F33" s="98">
        <v>1</v>
      </c>
      <c r="G33" s="98">
        <v>1</v>
      </c>
    </row>
    <row r="34" spans="1:7" ht="15.75" customHeight="1" x14ac:dyDescent="0.25">
      <c r="A34" s="5" t="s">
        <v>198</v>
      </c>
      <c r="B34" s="45">
        <v>0.97567199030962204</v>
      </c>
      <c r="C34" s="98">
        <v>0.95</v>
      </c>
      <c r="D34" s="56">
        <v>99.99</v>
      </c>
      <c r="E34" s="56" t="s">
        <v>183</v>
      </c>
      <c r="F34" s="98">
        <v>1</v>
      </c>
      <c r="G34" s="98">
        <v>1</v>
      </c>
    </row>
    <row r="35" spans="1:7" ht="15.75" customHeight="1" x14ac:dyDescent="0.25">
      <c r="A35" s="5" t="s">
        <v>199</v>
      </c>
      <c r="B35" s="98">
        <v>0</v>
      </c>
      <c r="C35" s="98">
        <v>0.95</v>
      </c>
      <c r="D35" s="56">
        <v>99.99</v>
      </c>
      <c r="E35" s="56" t="s">
        <v>183</v>
      </c>
      <c r="F35" s="98">
        <v>1</v>
      </c>
      <c r="G35" s="98">
        <v>1</v>
      </c>
    </row>
    <row r="36" spans="1:7" ht="15.75" customHeight="1" x14ac:dyDescent="0.25">
      <c r="A36" s="5" t="s">
        <v>200</v>
      </c>
      <c r="B36" s="45">
        <v>0</v>
      </c>
      <c r="C36" s="98">
        <v>0.95</v>
      </c>
      <c r="D36" s="56">
        <v>99.99</v>
      </c>
      <c r="E36" s="56" t="s">
        <v>183</v>
      </c>
      <c r="F36" s="98">
        <v>1</v>
      </c>
      <c r="G36" s="98">
        <v>1</v>
      </c>
    </row>
    <row r="37" spans="1:7" ht="15.75" customHeight="1" x14ac:dyDescent="0.25">
      <c r="A37" s="5" t="s">
        <v>201</v>
      </c>
      <c r="B37" s="45">
        <v>0</v>
      </c>
      <c r="C37" s="98">
        <v>0.95</v>
      </c>
      <c r="D37" s="56">
        <v>99.99</v>
      </c>
      <c r="E37" s="56" t="s">
        <v>183</v>
      </c>
      <c r="F37" s="98">
        <v>1</v>
      </c>
      <c r="G37" s="98">
        <v>1</v>
      </c>
    </row>
    <row r="38" spans="1:7" ht="15.75" customHeight="1" x14ac:dyDescent="0.25">
      <c r="A38" s="5" t="s">
        <v>202</v>
      </c>
      <c r="B38" s="45">
        <v>0</v>
      </c>
      <c r="C38" s="98">
        <v>0.95</v>
      </c>
      <c r="D38" s="56">
        <v>2.764629090051816</v>
      </c>
      <c r="E38" s="56" t="s">
        <v>183</v>
      </c>
      <c r="F38" s="98">
        <v>1</v>
      </c>
      <c r="G38" s="98">
        <v>1</v>
      </c>
    </row>
    <row r="39" spans="1:7" ht="15.75" customHeight="1" x14ac:dyDescent="0.25">
      <c r="A39" s="5" t="s">
        <v>203</v>
      </c>
      <c r="B39" s="45">
        <v>0.85884819030000004</v>
      </c>
      <c r="C39" s="98">
        <v>0.95</v>
      </c>
      <c r="D39" s="56">
        <v>99.99</v>
      </c>
      <c r="E39" s="56" t="s">
        <v>183</v>
      </c>
      <c r="F39" s="98">
        <v>1</v>
      </c>
      <c r="G39" s="98">
        <v>1</v>
      </c>
    </row>
  </sheetData>
  <sheetProtection algorithmName="SHA-512" hashValue="q51oehRHfDTLkZd+4vWT8fAPX7/0Nwgla3bmxIab6SaLgm9Ukt3R/k5rSEMWjNqPB3HFPFNuHpyq3ZmRwNAYrA==" saltValue="0lFpHJE3AZn6jgx6BKmAH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163</v>
      </c>
      <c r="B1" s="4" t="s">
        <v>205</v>
      </c>
      <c r="C1" s="4" t="s">
        <v>206</v>
      </c>
    </row>
    <row r="2" spans="1:3" ht="13.25" customHeight="1" x14ac:dyDescent="0.25">
      <c r="A2" s="57" t="s">
        <v>178</v>
      </c>
      <c r="B2" s="47" t="s">
        <v>191</v>
      </c>
      <c r="C2" s="47"/>
    </row>
    <row r="3" spans="1:3" ht="13.25" customHeight="1" x14ac:dyDescent="0.25">
      <c r="A3" s="57" t="s">
        <v>179</v>
      </c>
      <c r="B3" s="47" t="s">
        <v>191</v>
      </c>
      <c r="C3" s="47"/>
    </row>
    <row r="4" spans="1:3" ht="13.25" customHeight="1" x14ac:dyDescent="0.25">
      <c r="A4" s="57" t="s">
        <v>193</v>
      </c>
      <c r="B4" s="47" t="s">
        <v>184</v>
      </c>
      <c r="C4" s="47"/>
    </row>
    <row r="5" spans="1:3" ht="13.25" customHeight="1" x14ac:dyDescent="0.25">
      <c r="A5" s="57" t="s">
        <v>190</v>
      </c>
      <c r="B5" s="47" t="s">
        <v>184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D/oLDy8mkxH4xHDjldf+utwTjtZOqL390r4kZYcBlQ0wqOGHyKr1wupntwG56m8Jg30q7jjgNh8SqBratJ7uAg==" saltValue="jRPg5xP8R/LiP0qvdSLY4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163</v>
      </c>
    </row>
    <row r="2" spans="1:1" ht="13.25" customHeight="1" x14ac:dyDescent="0.25">
      <c r="A2" s="33" t="s">
        <v>170</v>
      </c>
    </row>
    <row r="3" spans="1:1" ht="13.25" customHeight="1" x14ac:dyDescent="0.25">
      <c r="A3" s="33" t="s">
        <v>180</v>
      </c>
    </row>
    <row r="4" spans="1:1" ht="13.25" customHeight="1" x14ac:dyDescent="0.25">
      <c r="A4" s="33" t="s">
        <v>185</v>
      </c>
    </row>
    <row r="5" spans="1:1" ht="13.25" customHeight="1" x14ac:dyDescent="0.25">
      <c r="A5" s="33" t="s">
        <v>197</v>
      </c>
    </row>
    <row r="6" spans="1:1" ht="13.25" customHeight="1" x14ac:dyDescent="0.25">
      <c r="A6" s="33" t="s">
        <v>198</v>
      </c>
    </row>
    <row r="7" spans="1:1" ht="13.25" customHeight="1" x14ac:dyDescent="0.25">
      <c r="A7" s="33" t="s">
        <v>199</v>
      </c>
    </row>
    <row r="8" spans="1:1" ht="13.25" customHeight="1" x14ac:dyDescent="0.25">
      <c r="A8" s="33" t="s">
        <v>200</v>
      </c>
    </row>
    <row r="9" spans="1:1" ht="13.25" customHeight="1" x14ac:dyDescent="0.25">
      <c r="A9" s="33" t="s">
        <v>201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AJVr22+Qnq+zy7NavakuQIxmzShj2eqNeGSjxyHiKGYriMlU4bk5Huvt12B9Dln/tw5MgNsuEn60WeAmd1gQBw==" saltValue="DokK76tUN2kpmfmuDWxE2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208</v>
      </c>
      <c r="B1" t="s">
        <v>78</v>
      </c>
      <c r="C1" t="s">
        <v>74</v>
      </c>
      <c r="D1" t="s">
        <v>77</v>
      </c>
      <c r="E1" t="s">
        <v>75</v>
      </c>
      <c r="F1" t="s">
        <v>76</v>
      </c>
    </row>
    <row r="2" spans="1:6" ht="15.75" customHeight="1" x14ac:dyDescent="0.25">
      <c r="A2" s="3" t="s">
        <v>84</v>
      </c>
      <c r="B2" s="21">
        <f>'Entradas de población-año base'!C51</f>
        <v>2.8</v>
      </c>
      <c r="C2" s="21">
        <f>'Entradas de población-año base'!C52</f>
        <v>2.8</v>
      </c>
      <c r="D2" s="21">
        <f>'Entradas de población-año base'!C53</f>
        <v>2.8</v>
      </c>
      <c r="E2" s="21">
        <f>'Entradas de población-año base'!C54</f>
        <v>2.8</v>
      </c>
      <c r="F2" s="21">
        <f>'Entradas de población-año base'!C55</f>
        <v>2.8</v>
      </c>
    </row>
    <row r="3" spans="1:6" ht="15.75" customHeight="1" x14ac:dyDescent="0.25">
      <c r="A3" s="3" t="s">
        <v>6</v>
      </c>
      <c r="B3" s="21">
        <f>frac_mam_1month * 2.6</f>
        <v>0.17776523180000001</v>
      </c>
      <c r="C3" s="21">
        <f>frac_mam_1_5months * 2.6</f>
        <v>0.17776523180000001</v>
      </c>
      <c r="D3" s="21">
        <f>frac_mam_6_11months * 2.6</f>
        <v>6.6276051400000008E-2</v>
      </c>
      <c r="E3" s="21">
        <f>frac_mam_12_23months * 2.6</f>
        <v>7.6517144600000003E-3</v>
      </c>
      <c r="F3" s="21">
        <f>frac_mam_24_59months * 2.6</f>
        <v>5.2454209599999996E-2</v>
      </c>
    </row>
    <row r="4" spans="1:6" ht="15.75" customHeight="1" x14ac:dyDescent="0.25">
      <c r="A4" s="3" t="s">
        <v>207</v>
      </c>
      <c r="B4" s="21">
        <f>frac_sam_1month * 2.6</f>
        <v>0</v>
      </c>
      <c r="C4" s="21">
        <f>frac_sam_1_5months * 2.6</f>
        <v>0</v>
      </c>
      <c r="D4" s="21">
        <f>frac_sam_6_11months * 2.6</f>
        <v>3.5181104400000003E-2</v>
      </c>
      <c r="E4" s="21">
        <f>frac_sam_12_23months * 2.6</f>
        <v>1.5872004460000002E-2</v>
      </c>
      <c r="F4" s="21">
        <f>frac_sam_24_59months * 2.6</f>
        <v>1.0436327200000001E-2</v>
      </c>
    </row>
  </sheetData>
  <sheetProtection algorithmName="SHA-512" hashValue="OWnF423y2dLKrRyn/D1VH7K2t14ITcXZPYMteJvKpg2d3jnyGTYThyft6WUrGP623ng29ViVF8oCezPtJq7QUA==" saltValue="r1MQJHRiwJ9o9sFeF3HLp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">
      <c r="A2" s="4" t="s">
        <v>83</v>
      </c>
      <c r="B2" s="5" t="s">
        <v>167</v>
      </c>
      <c r="C2" s="60">
        <v>0</v>
      </c>
      <c r="D2" s="60">
        <f>food_insecure</f>
        <v>5.5E-2</v>
      </c>
      <c r="E2" s="60">
        <f>food_insecure</f>
        <v>5.5E-2</v>
      </c>
      <c r="F2" s="60">
        <f>food_insecure</f>
        <v>5.5E-2</v>
      </c>
      <c r="G2" s="60">
        <f>food_insecure</f>
        <v>5.5E-2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169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182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5.5E-2</v>
      </c>
      <c r="F5" s="60">
        <f>food_insecure</f>
        <v>5.5E-2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190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192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193</v>
      </c>
      <c r="C8" s="60">
        <v>0</v>
      </c>
      <c r="D8" s="60">
        <v>0</v>
      </c>
      <c r="E8" s="60">
        <f>food_insecure</f>
        <v>5.5E-2</v>
      </c>
      <c r="F8" s="60">
        <f>food_insecure</f>
        <v>5.5E-2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204</v>
      </c>
      <c r="C9" s="60">
        <v>0</v>
      </c>
      <c r="D9" s="60">
        <v>0</v>
      </c>
      <c r="E9" s="60">
        <f>food_insecure</f>
        <v>5.5E-2</v>
      </c>
      <c r="F9" s="60">
        <f>food_insecure</f>
        <v>5.5E-2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164</v>
      </c>
      <c r="C10" s="60">
        <v>0</v>
      </c>
      <c r="D10" s="60">
        <f>IF(ISBLANK(comm_deliv), frac_children_health_facility,1)</f>
        <v>0.89700000000000002</v>
      </c>
      <c r="E10" s="60">
        <f>IF(ISBLANK(comm_deliv), frac_children_health_facility,1)</f>
        <v>0.89700000000000002</v>
      </c>
      <c r="F10" s="60">
        <f>IF(ISBLANK(comm_deliv), frac_children_health_facility,1)</f>
        <v>0.89700000000000002</v>
      </c>
      <c r="G10" s="60">
        <f>IF(ISBLANK(comm_deliv), frac_children_health_facility,1)</f>
        <v>0.89700000000000002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196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202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203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104</v>
      </c>
      <c r="B15" s="9" t="s">
        <v>165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5.5E-2</v>
      </c>
      <c r="I15" s="60">
        <f>food_insecure</f>
        <v>5.5E-2</v>
      </c>
      <c r="J15" s="60">
        <f>food_insecure</f>
        <v>5.5E-2</v>
      </c>
      <c r="K15" s="60">
        <f>food_insecure</f>
        <v>5.5E-2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166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178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179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0.93900000000000006</v>
      </c>
      <c r="I18" s="60">
        <f>frac_PW_health_facility</f>
        <v>0.93900000000000006</v>
      </c>
      <c r="J18" s="60">
        <f>frac_PW_health_facility</f>
        <v>0.93900000000000006</v>
      </c>
      <c r="K18" s="60">
        <f>frac_PW_health_facility</f>
        <v>0.93900000000000006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180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189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191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211</v>
      </c>
      <c r="B24" s="11" t="s">
        <v>170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0.74900000000000011</v>
      </c>
      <c r="M24" s="60">
        <f>famplan_unmet_need</f>
        <v>0.74900000000000011</v>
      </c>
      <c r="N24" s="60">
        <f>famplan_unmet_need</f>
        <v>0.74900000000000011</v>
      </c>
      <c r="O24" s="60">
        <f>famplan_unmet_need</f>
        <v>0.74900000000000011</v>
      </c>
    </row>
    <row r="25" spans="1:15" ht="15.75" customHeight="1" x14ac:dyDescent="0.25">
      <c r="B25" s="11" t="s">
        <v>174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3.5469570693969873E-2</v>
      </c>
      <c r="M25" s="60">
        <f>(1-food_insecure)*(0.49)+food_insecure*(0.7)</f>
        <v>0.50154999999999994</v>
      </c>
      <c r="N25" s="60">
        <f>(1-food_insecure)*(0.49)+food_insecure*(0.7)</f>
        <v>0.50154999999999994</v>
      </c>
      <c r="O25" s="60">
        <f>(1-food_insecure)*(0.49)+food_insecure*(0.7)</f>
        <v>0.50154999999999994</v>
      </c>
    </row>
    <row r="26" spans="1:15" ht="15.75" customHeight="1" x14ac:dyDescent="0.25">
      <c r="B26" s="11" t="s">
        <v>175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1.5201244583129945E-2</v>
      </c>
      <c r="M26" s="60">
        <f>(1-food_insecure)*(0.21)+food_insecure*(0.3)</f>
        <v>0.21494999999999997</v>
      </c>
      <c r="N26" s="60">
        <f>(1-food_insecure)*(0.21)+food_insecure*(0.3)</f>
        <v>0.21494999999999997</v>
      </c>
      <c r="O26" s="60">
        <f>(1-food_insecure)*(0.21)+food_insecure*(0.3)</f>
        <v>0.21494999999999997</v>
      </c>
    </row>
    <row r="27" spans="1:15" ht="15.75" customHeight="1" x14ac:dyDescent="0.25">
      <c r="B27" s="11" t="s">
        <v>176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2.0049094390869222E-2</v>
      </c>
      <c r="M27" s="60">
        <f>(1-food_insecure)*(0.3)</f>
        <v>0.28349999999999997</v>
      </c>
      <c r="N27" s="60">
        <f>(1-food_insecure)*(0.3)</f>
        <v>0.28349999999999997</v>
      </c>
      <c r="O27" s="60">
        <f>(1-food_insecure)*(0.3)</f>
        <v>0.28349999999999997</v>
      </c>
    </row>
    <row r="28" spans="1:15" ht="15.75" customHeight="1" x14ac:dyDescent="0.25">
      <c r="B28" s="11" t="s">
        <v>177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0.92928009033203085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171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172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173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181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197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198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199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200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201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QMAlZPxdjNFJrXnpdqISC9i54+CFAg8NHgZDhPwmB0+oPDKmmoAzrxHJKHcR43vwWBo2TY8wpFsxdV+SPEunng==" saltValue="GrKvWFJs6yGY1ILSDyG0y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183</v>
      </c>
    </row>
    <row r="2" spans="1:1" x14ac:dyDescent="0.25">
      <c r="A2" s="8" t="s">
        <v>213</v>
      </c>
    </row>
    <row r="3" spans="1:1" x14ac:dyDescent="0.25">
      <c r="A3" s="8" t="s">
        <v>212</v>
      </c>
    </row>
    <row r="4" spans="1:1" x14ac:dyDescent="0.25">
      <c r="A4" s="8" t="s">
        <v>214</v>
      </c>
    </row>
  </sheetData>
  <sheetProtection algorithmName="SHA-512" hashValue="9z0IBZhLQ8pWc+0nZ+y5TjADf2zBP6KCnvQYFMdD93HmX0JcqS6/p+XArrDCtn1JFHjVGIDj7tCLEhpMLfLIhQ==" saltValue="A4YiHJBnReB1dqhDeBQZ0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223</v>
      </c>
      <c r="B1" s="4" t="s">
        <v>216</v>
      </c>
      <c r="C1" s="4" t="s">
        <v>227</v>
      </c>
      <c r="D1" s="4" t="s">
        <v>145</v>
      </c>
      <c r="E1" s="4" t="s">
        <v>225</v>
      </c>
    </row>
    <row r="2" spans="1:5" ht="14" customHeight="1" x14ac:dyDescent="0.3">
      <c r="A2" s="28" t="s">
        <v>215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222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217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221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224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226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218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219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iyqWZXoeO0G7rJJk/VXlcI+LPr7evBEJLZEXKWhIYRlh+PQJBgsc7Av+/tc4UcOJAx15JiP5fRYDZRXgwZ2HNQ==" saltValue="YcsGiY9iZZ20wBCCi8J/F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209</v>
      </c>
      <c r="B1" s="1" t="s">
        <v>163</v>
      </c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69</v>
      </c>
      <c r="N1" s="4" t="s">
        <v>70</v>
      </c>
      <c r="O1" s="4" t="s">
        <v>71</v>
      </c>
    </row>
    <row r="2" spans="1:15" ht="15.75" customHeight="1" x14ac:dyDescent="0.35">
      <c r="A2" s="4" t="s">
        <v>83</v>
      </c>
      <c r="B2" s="5" t="s">
        <v>167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169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151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152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153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182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190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192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204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164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196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202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203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104</v>
      </c>
      <c r="B18" s="5" t="s">
        <v>165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178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179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191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211</v>
      </c>
      <c r="B27" s="5" t="s">
        <v>170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174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175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176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177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171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172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173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181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199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200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201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ySh8xaFoBaak+Rbh+8vcW2ys/j5MzWpbQ3nGZWezsUVIKXbFTeIrQQ9oIRS8g2qZXW0Q4AyUPGWp7sGkySgSEg==" saltValue="H6CWyQ5ZsLXmf6KlpOlqa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ht="13.25" customHeight="1" x14ac:dyDescent="0.25">
      <c r="A2" s="5" t="s">
        <v>165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166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167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169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170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171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172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173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174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175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176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177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178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179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180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181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151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152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153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182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184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188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189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190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191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192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193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204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164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196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197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198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199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200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201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202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203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P/vhyIpysG4MR7k+ZDHpeLJPN+9YTeV7Vi4+oZE9kJBApd3pOf+r1UyVwo7uovQWXAw+epiIk9EafjDZnpsd/A==" saltValue="DZYeqouw7eUKdvdL2vfHMw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233</v>
      </c>
      <c r="B1" s="8" t="s">
        <v>230</v>
      </c>
      <c r="C1" s="8" t="s">
        <v>105</v>
      </c>
      <c r="D1" s="8" t="s">
        <v>231</v>
      </c>
      <c r="E1" s="8" t="s">
        <v>232</v>
      </c>
      <c r="F1" s="8" t="s">
        <v>123</v>
      </c>
      <c r="G1" s="8" t="s">
        <v>84</v>
      </c>
      <c r="H1" s="8" t="s">
        <v>37</v>
      </c>
      <c r="I1" s="8" t="s">
        <v>229</v>
      </c>
      <c r="J1" s="8" t="s">
        <v>22</v>
      </c>
      <c r="K1" s="8" t="s">
        <v>228</v>
      </c>
    </row>
    <row r="2" spans="1:11" ht="13.25" customHeight="1" x14ac:dyDescent="0.25">
      <c r="A2" s="8" t="s">
        <v>78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74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77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75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76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113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114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115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116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68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69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70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71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y7sAGhsCOt6B5kBLPKoBu6P7w3+stEeHhtXT7FH0MA1I9AuxFblLPCNA1uidh2UzzUYFI6v/954QA0llnydawQ==" saltValue="qYRBC4QMSMJLI8YxGqQak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234</v>
      </c>
      <c r="B1" s="4" t="s">
        <v>156</v>
      </c>
      <c r="C1" s="4" t="s">
        <v>160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10" ht="13" customHeight="1" x14ac:dyDescent="0.3">
      <c r="A2" s="4" t="s">
        <v>236</v>
      </c>
      <c r="B2" s="103" t="s">
        <v>104</v>
      </c>
      <c r="C2" s="8" t="s">
        <v>150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149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78</v>
      </c>
      <c r="C5" s="8" t="s">
        <v>150</v>
      </c>
      <c r="D5" s="88">
        <f>IFERROR((MIN(1,1.56*'Distribución de lactancia'!$C$2)/(1-MIN(1,1.56*'Distribución de lactancia'!$C$2))) /
('Distribución de lactancia'!$C$2/(1-'Distribución de lactancia'!$C$2)), 1.56)</f>
        <v>6.3358137181518233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149</v>
      </c>
      <c r="D6" s="88">
        <f>IFERROR((MIN(1,1.56*'Distribución de lactancia'!$C$2)/(1-MIN(1,1.56*'Distribución de lactancia'!$C$2))) /
('Distribución de lactancia'!$C$2/(1-'Distribución de lactancia'!$C$2)), 1.56)</f>
        <v>6.3358137181518233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74</v>
      </c>
      <c r="C8" s="8" t="s">
        <v>150</v>
      </c>
      <c r="D8" s="88">
        <v>1</v>
      </c>
      <c r="E8" s="88">
        <f>IFERROR((MIN(1,1.56*'Distribución de lactancia'!$D$2)/(1-MIN(1,1.56*'Distribución de lactancia'!$D$2))) /
('Distribución de lactancia'!$D$2/(1-'Distribución de lactancia'!$D$2)), 1.56)</f>
        <v>1.8518467199035413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149</v>
      </c>
      <c r="D9" s="88">
        <v>1</v>
      </c>
      <c r="E9" s="88">
        <f>IFERROR((MIN(1,1.56*'Distribución de lactancia'!$D$2)/(1-MIN(1,1.56*'Distribución de lactancia'!$D$2))) /
('Distribución de lactancia'!$D$2/(1-'Distribución de lactancia'!$D$2)), 1.56)</f>
        <v>1.8518467199035413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77</v>
      </c>
      <c r="C11" s="8" t="s">
        <v>150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149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75</v>
      </c>
      <c r="C14" s="8" t="s">
        <v>150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149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148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242</v>
      </c>
      <c r="B19" s="103" t="s">
        <v>104</v>
      </c>
      <c r="C19" s="8" t="s">
        <v>150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149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78</v>
      </c>
      <c r="C22" s="8" t="s">
        <v>150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149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74</v>
      </c>
      <c r="C25" s="8" t="s">
        <v>150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149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77</v>
      </c>
      <c r="C28" s="8" t="s">
        <v>150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149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75</v>
      </c>
      <c r="C31" s="8" t="s">
        <v>150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149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148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239</v>
      </c>
      <c r="B36" s="103" t="s">
        <v>104</v>
      </c>
      <c r="C36" s="8" t="s">
        <v>150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149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78</v>
      </c>
      <c r="C39" s="8" t="s">
        <v>150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149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74</v>
      </c>
      <c r="C42" s="8" t="s">
        <v>150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149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77</v>
      </c>
      <c r="C45" s="8" t="s">
        <v>150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149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75</v>
      </c>
      <c r="C48" s="8" t="s">
        <v>150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149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148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234</v>
      </c>
      <c r="B54" s="4" t="s">
        <v>156</v>
      </c>
      <c r="C54" s="4" t="s">
        <v>160</v>
      </c>
      <c r="D54" s="4" t="s">
        <v>78</v>
      </c>
      <c r="E54" s="4" t="s">
        <v>74</v>
      </c>
      <c r="F54" s="4" t="s">
        <v>77</v>
      </c>
      <c r="G54" s="4" t="s">
        <v>75</v>
      </c>
      <c r="H54" s="4" t="s">
        <v>76</v>
      </c>
    </row>
    <row r="55" spans="1:8" ht="13" customHeight="1" x14ac:dyDescent="0.3">
      <c r="A55" s="4" t="s">
        <v>237</v>
      </c>
      <c r="B55" s="103" t="s">
        <v>104</v>
      </c>
      <c r="C55" s="8" t="s">
        <v>150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149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78</v>
      </c>
      <c r="C58" s="8" t="s">
        <v>150</v>
      </c>
      <c r="D58" s="88">
        <f>IFERROR((MIN(1,1.37*'Distribución de lactancia'!$C$2)/(1-MIN(1,1.37*'Distribución de lactancia'!$C$2))) /
('Distribución de lactancia'!$C$2/(1-'Distribución de lactancia'!$C$2)), 1.37)</f>
        <v>2.7292665425824607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149</v>
      </c>
      <c r="D59" s="88">
        <f>IFERROR((MIN(1,1.37*'Distribución de lactancia'!$C$2)/(1-MIN(1,1.37*'Distribución de lactancia'!$C$2))) /
('Distribución de lactancia'!$C$2/(1-'Distribución de lactancia'!$C$2)), 1.37)</f>
        <v>2.7292665425824607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74</v>
      </c>
      <c r="C61" s="8" t="s">
        <v>150</v>
      </c>
      <c r="D61" s="88">
        <f t="shared" si="2"/>
        <v>1</v>
      </c>
      <c r="E61" s="88">
        <f>IFERROR((MIN(1,1.37*'Distribución de lactancia'!$D$2)/(1-MIN(1,1.37*'Distribución de lactancia'!$D$2))) /
('Distribución de lactancia'!$D$2/(1-'Distribución de lactancia'!$D$2)), 1.37)</f>
        <v>1.5292346619719843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149</v>
      </c>
      <c r="D62" s="88">
        <f t="shared" si="2"/>
        <v>1</v>
      </c>
      <c r="E62" s="88">
        <f>IFERROR((MIN(1,1.37*'Distribución de lactancia'!$D$2)/(1-MIN(1,1.37*'Distribución de lactancia'!$D$2))) /
('Distribución de lactancia'!$D$2/(1-'Distribución de lactancia'!$D$2)), 1.37)</f>
        <v>1.5292346619719843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77</v>
      </c>
      <c r="C64" s="8" t="s">
        <v>150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149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75</v>
      </c>
      <c r="C67" s="8" t="s">
        <v>150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149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148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243</v>
      </c>
      <c r="B72" s="103" t="s">
        <v>104</v>
      </c>
      <c r="C72" s="8" t="s">
        <v>150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149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78</v>
      </c>
      <c r="C75" s="8" t="s">
        <v>150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149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74</v>
      </c>
      <c r="C78" s="8" t="s">
        <v>150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149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77</v>
      </c>
      <c r="C81" s="8" t="s">
        <v>150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149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75</v>
      </c>
      <c r="C84" s="8" t="s">
        <v>150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149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148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240</v>
      </c>
      <c r="B89" s="103" t="s">
        <v>104</v>
      </c>
      <c r="C89" s="8" t="s">
        <v>150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149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78</v>
      </c>
      <c r="C92" s="8" t="s">
        <v>150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149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74</v>
      </c>
      <c r="C95" s="8" t="s">
        <v>150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149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77</v>
      </c>
      <c r="C98" s="8" t="s">
        <v>150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149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75</v>
      </c>
      <c r="C101" s="8" t="s">
        <v>150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149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148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245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234</v>
      </c>
      <c r="B107" s="4" t="s">
        <v>156</v>
      </c>
      <c r="C107" s="4" t="s">
        <v>160</v>
      </c>
      <c r="D107" s="4" t="s">
        <v>78</v>
      </c>
      <c r="E107" s="4" t="s">
        <v>74</v>
      </c>
      <c r="F107" s="4" t="s">
        <v>77</v>
      </c>
      <c r="G107" s="4" t="s">
        <v>75</v>
      </c>
      <c r="H107" s="4" t="s">
        <v>76</v>
      </c>
    </row>
    <row r="108" spans="1:8" ht="13" customHeight="1" x14ac:dyDescent="0.3">
      <c r="A108" s="4" t="s">
        <v>238</v>
      </c>
      <c r="B108" s="103" t="s">
        <v>104</v>
      </c>
      <c r="C108" s="8" t="s">
        <v>150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149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78</v>
      </c>
      <c r="C111" s="8" t="s">
        <v>150</v>
      </c>
      <c r="D111" s="88">
        <f>IFERROR((MIN(1,1.77*'Distribución de lactancia'!$C$2)/(1-MIN(1,1.77*'Distribución de lactancia'!$C$2))) /
('Distribución de lactancia'!$C$2/(1-'Distribución de lactancia'!$C$2)),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149</v>
      </c>
      <c r="D112" s="88">
        <f>IFERROR((MIN(1,1.77*'Distribución de lactancia'!$C$2)/(1-MIN(1,1.77*'Distribución de lactancia'!$C$2))) /
('Distribución de lactancia'!$C$2/(1-'Distribución de lactancia'!$C$2)),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74</v>
      </c>
      <c r="C114" s="8" t="s">
        <v>150</v>
      </c>
      <c r="D114" s="88">
        <f t="shared" si="12"/>
        <v>1</v>
      </c>
      <c r="E114" s="88">
        <f>IFERROR((MIN(1,1.77*'Distribución de lactancia'!$D$2)/(1-MIN(1,1.77*'Distribución de lactancia'!$D$2))) /
('Distribución de lactancia'!$D$2/(1-'Distribución de lactancia'!$D$2)), 1.77)</f>
        <v>2.2596613642277257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149</v>
      </c>
      <c r="D115" s="88">
        <f t="shared" si="12"/>
        <v>1</v>
      </c>
      <c r="E115" s="88">
        <f>IFERROR((MIN(1,1.77*'Distribución de lactancia'!$D$2)/(1-MIN(1,1.77*'Distribución de lactancia'!$D$2))) /
('Distribución de lactancia'!$D$2/(1-'Distribución de lactancia'!$D$2)), 1.77)</f>
        <v>2.2596613642277257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77</v>
      </c>
      <c r="C117" s="8" t="s">
        <v>150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149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75</v>
      </c>
      <c r="C120" s="8" t="s">
        <v>150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149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148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244</v>
      </c>
      <c r="B125" s="103" t="s">
        <v>104</v>
      </c>
      <c r="C125" s="8" t="s">
        <v>150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149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78</v>
      </c>
      <c r="C128" s="8" t="s">
        <v>150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149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74</v>
      </c>
      <c r="C131" s="8" t="s">
        <v>150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149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77</v>
      </c>
      <c r="C134" s="8" t="s">
        <v>150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149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75</v>
      </c>
      <c r="C137" s="8" t="s">
        <v>150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149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148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241</v>
      </c>
      <c r="B142" s="103" t="s">
        <v>104</v>
      </c>
      <c r="C142" s="8" t="s">
        <v>150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149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78</v>
      </c>
      <c r="C145" s="8" t="s">
        <v>150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149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74</v>
      </c>
      <c r="C148" s="8" t="s">
        <v>150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149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77</v>
      </c>
      <c r="C151" s="8" t="s">
        <v>150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149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75</v>
      </c>
      <c r="C154" s="8" t="s">
        <v>150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149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148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N1fAz7l6z8DZTV7gxSozGZzqsRt+xRhSYcEIw+HJVtGpFOUhhp7nheSdu3/Ye9y67x7hleuhbc70W/7R1oO4lg==" saltValue="o5rwngVlpocZmRh5fgwoW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248</v>
      </c>
    </row>
    <row r="2" spans="1:6" ht="15.75" customHeight="1" x14ac:dyDescent="0.3">
      <c r="B2" s="69"/>
      <c r="C2" s="26" t="s">
        <v>58</v>
      </c>
      <c r="D2" s="70" t="s">
        <v>59</v>
      </c>
      <c r="E2" s="70" t="s">
        <v>51</v>
      </c>
      <c r="F2" s="70" t="s">
        <v>52</v>
      </c>
    </row>
    <row r="3" spans="1:6" ht="15.75" customHeight="1" x14ac:dyDescent="0.3">
      <c r="A3" s="4" t="s">
        <v>255</v>
      </c>
      <c r="B3" s="14"/>
      <c r="C3" s="71"/>
      <c r="D3" s="72"/>
      <c r="E3" s="72"/>
      <c r="F3" s="72"/>
    </row>
    <row r="4" spans="1:6" ht="15.75" customHeight="1" x14ac:dyDescent="0.25">
      <c r="B4" s="5" t="s">
        <v>27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63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10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11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252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261</v>
      </c>
      <c r="C11" s="74"/>
      <c r="D11" s="75"/>
      <c r="E11" s="75"/>
      <c r="F11" s="75"/>
    </row>
    <row r="12" spans="1:6" ht="15.75" customHeight="1" x14ac:dyDescent="0.3">
      <c r="A12" s="4" t="s">
        <v>249</v>
      </c>
      <c r="C12" s="73"/>
      <c r="D12" s="64"/>
      <c r="E12" s="64"/>
      <c r="F12" s="64"/>
    </row>
    <row r="13" spans="1:6" ht="15.75" customHeight="1" x14ac:dyDescent="0.25">
      <c r="B13" s="11" t="s">
        <v>264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107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119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258</v>
      </c>
      <c r="B17" s="14"/>
      <c r="C17" s="77"/>
      <c r="D17" s="78"/>
      <c r="E17" s="78"/>
      <c r="F17" s="78"/>
    </row>
    <row r="18" spans="1:6" ht="15.75" customHeight="1" x14ac:dyDescent="0.25">
      <c r="B18" s="5" t="s">
        <v>93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97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95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91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96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98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92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94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248</v>
      </c>
    </row>
    <row r="29" spans="1:6" ht="15.75" customHeight="1" x14ac:dyDescent="0.3">
      <c r="B29" s="69"/>
      <c r="C29" s="26" t="s">
        <v>58</v>
      </c>
      <c r="D29" s="70" t="s">
        <v>59</v>
      </c>
      <c r="E29" s="70" t="s">
        <v>51</v>
      </c>
      <c r="F29" s="70" t="s">
        <v>52</v>
      </c>
    </row>
    <row r="30" spans="1:6" ht="15.75" customHeight="1" x14ac:dyDescent="0.3">
      <c r="A30" s="4" t="s">
        <v>256</v>
      </c>
      <c r="B30" s="14"/>
      <c r="C30" s="71"/>
      <c r="D30" s="72"/>
      <c r="E30" s="72"/>
      <c r="F30" s="72"/>
    </row>
    <row r="31" spans="1:6" ht="15.75" customHeight="1" x14ac:dyDescent="0.25">
      <c r="B31" s="5" t="s">
        <v>27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63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10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11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253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261</v>
      </c>
      <c r="B38" s="68"/>
      <c r="C38" s="74"/>
      <c r="D38" s="75"/>
      <c r="E38" s="75"/>
      <c r="F38" s="75"/>
    </row>
    <row r="39" spans="1:6" ht="15.75" customHeight="1" x14ac:dyDescent="0.3">
      <c r="A39" s="4" t="s">
        <v>250</v>
      </c>
      <c r="C39" s="73"/>
      <c r="D39" s="64"/>
      <c r="E39" s="64"/>
      <c r="F39" s="64"/>
    </row>
    <row r="40" spans="1:6" ht="15.75" customHeight="1" x14ac:dyDescent="0.25">
      <c r="B40" s="11" t="s">
        <v>265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246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262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259</v>
      </c>
      <c r="B44" s="14"/>
      <c r="C44" s="77"/>
      <c r="D44" s="78"/>
      <c r="E44" s="78"/>
      <c r="F44" s="78"/>
    </row>
    <row r="45" spans="1:6" ht="15.75" customHeight="1" x14ac:dyDescent="0.25">
      <c r="B45" s="5" t="s">
        <v>93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97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95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91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96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98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92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94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245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248</v>
      </c>
    </row>
    <row r="56" spans="1:6" ht="15.75" customHeight="1" x14ac:dyDescent="0.3">
      <c r="B56" s="69"/>
      <c r="C56" s="26" t="s">
        <v>58</v>
      </c>
      <c r="D56" s="70" t="s">
        <v>59</v>
      </c>
      <c r="E56" s="70" t="s">
        <v>51</v>
      </c>
      <c r="F56" s="70" t="s">
        <v>52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63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10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11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254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261</v>
      </c>
      <c r="B65" s="68"/>
      <c r="C65" s="74"/>
      <c r="D65" s="75"/>
      <c r="E65" s="75"/>
      <c r="F65" s="75"/>
    </row>
    <row r="66" spans="1:6" ht="15.75" customHeight="1" x14ac:dyDescent="0.3">
      <c r="A66" s="4" t="s">
        <v>251</v>
      </c>
      <c r="C66" s="73"/>
      <c r="D66" s="64"/>
      <c r="E66" s="64"/>
      <c r="F66" s="64"/>
    </row>
    <row r="67" spans="1:6" ht="15.75" customHeight="1" x14ac:dyDescent="0.25">
      <c r="B67" s="11" t="s">
        <v>266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247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263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260</v>
      </c>
      <c r="B71" s="14"/>
      <c r="C71" s="77"/>
      <c r="D71" s="78"/>
      <c r="E71" s="78"/>
      <c r="F71" s="78"/>
    </row>
    <row r="72" spans="1:6" ht="15.75" customHeight="1" x14ac:dyDescent="0.25">
      <c r="B72" s="5" t="s">
        <v>93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97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95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91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96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98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92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94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f7kY5l40e/shfgKZaFzx8EDVVwDGb5EjwR3Q4DlUCwU8s7zHxKpI3bSp/Phg5McltYx3VIaldt/5DzyHEzJoUA==" saltValue="APGKcYZpaVEENl8mfeeGL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278</v>
      </c>
    </row>
    <row r="2" spans="1:16" ht="13" customHeight="1" x14ac:dyDescent="0.3">
      <c r="A2" s="39" t="s">
        <v>230</v>
      </c>
      <c r="B2" s="1" t="s">
        <v>270</v>
      </c>
      <c r="C2" s="1" t="s">
        <v>271</v>
      </c>
      <c r="D2" s="70" t="s">
        <v>78</v>
      </c>
      <c r="E2" s="70" t="s">
        <v>74</v>
      </c>
      <c r="F2" s="70" t="s">
        <v>77</v>
      </c>
      <c r="G2" s="70" t="s">
        <v>75</v>
      </c>
      <c r="H2" s="70" t="s">
        <v>76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84</v>
      </c>
      <c r="C3" s="3" t="s">
        <v>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273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274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272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102</v>
      </c>
      <c r="C7" s="3" t="s">
        <v>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273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274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272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273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274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272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3</v>
      </c>
      <c r="C15" s="3" t="s">
        <v>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273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274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272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2</v>
      </c>
      <c r="C19" s="3" t="s">
        <v>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273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274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272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99</v>
      </c>
      <c r="C23" s="3" t="s">
        <v>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273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274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272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279</v>
      </c>
    </row>
    <row r="29" spans="1:16" ht="13" customHeight="1" x14ac:dyDescent="0.3">
      <c r="A29" s="39" t="s">
        <v>282</v>
      </c>
      <c r="B29" s="4" t="s">
        <v>270</v>
      </c>
      <c r="C29" s="4" t="s">
        <v>281</v>
      </c>
      <c r="D29" s="70" t="s">
        <v>78</v>
      </c>
      <c r="E29" s="70" t="s">
        <v>74</v>
      </c>
      <c r="F29" s="70" t="s">
        <v>77</v>
      </c>
      <c r="G29" s="70" t="s">
        <v>75</v>
      </c>
      <c r="H29" s="70" t="s">
        <v>76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84</v>
      </c>
      <c r="C30" s="3" t="s">
        <v>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273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6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207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102</v>
      </c>
      <c r="C34" s="3" t="s">
        <v>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273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6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207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273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6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207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3</v>
      </c>
      <c r="C42" s="3" t="s">
        <v>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273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6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207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2</v>
      </c>
      <c r="C46" s="3" t="s">
        <v>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273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6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207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99</v>
      </c>
      <c r="C50" s="3" t="s">
        <v>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273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6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207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276</v>
      </c>
    </row>
    <row r="56" spans="1:16" ht="26" customHeight="1" x14ac:dyDescent="0.3">
      <c r="A56" s="39" t="s">
        <v>105</v>
      </c>
      <c r="B56" s="4" t="s">
        <v>270</v>
      </c>
      <c r="C56" s="69" t="s">
        <v>267</v>
      </c>
      <c r="D56" s="70" t="s">
        <v>113</v>
      </c>
      <c r="E56" s="70" t="s">
        <v>114</v>
      </c>
      <c r="F56" s="70" t="s">
        <v>115</v>
      </c>
      <c r="G56" s="70" t="s">
        <v>116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81</v>
      </c>
      <c r="C57" s="3" t="s">
        <v>275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268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89</v>
      </c>
      <c r="C59" s="3" t="s">
        <v>275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268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275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268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277</v>
      </c>
    </row>
    <row r="65" spans="1:16" ht="26" customHeight="1" x14ac:dyDescent="0.3">
      <c r="A65" s="39" t="s">
        <v>123</v>
      </c>
      <c r="B65" s="4" t="s">
        <v>270</v>
      </c>
      <c r="C65" s="69" t="s">
        <v>269</v>
      </c>
      <c r="D65" s="70" t="s">
        <v>78</v>
      </c>
      <c r="E65" s="70" t="s">
        <v>74</v>
      </c>
      <c r="F65" s="70" t="s">
        <v>77</v>
      </c>
      <c r="G65" s="70" t="s">
        <v>75</v>
      </c>
      <c r="H65" s="81" t="s">
        <v>76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93</v>
      </c>
      <c r="C66" s="3" t="s">
        <v>124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127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126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125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97</v>
      </c>
      <c r="C70" s="3" t="s">
        <v>124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127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126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125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95</v>
      </c>
      <c r="C74" s="3" t="s">
        <v>124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127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126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125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96</v>
      </c>
      <c r="C78" s="3" t="s">
        <v>124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127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126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125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84</v>
      </c>
      <c r="C82" s="3" t="s">
        <v>124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127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126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125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102</v>
      </c>
      <c r="C86" s="3" t="s">
        <v>124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127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126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125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124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127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126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125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2</v>
      </c>
      <c r="C94" s="3" t="s">
        <v>124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127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126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125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101</v>
      </c>
      <c r="C98" s="3" t="s">
        <v>124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127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126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125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84</v>
      </c>
      <c r="B104" s="82" t="s">
        <v>125</v>
      </c>
      <c r="C104" s="69" t="s">
        <v>269</v>
      </c>
      <c r="D104" s="70" t="s">
        <v>78</v>
      </c>
      <c r="E104" s="70" t="s">
        <v>74</v>
      </c>
      <c r="F104" s="70" t="s">
        <v>77</v>
      </c>
      <c r="G104" s="70" t="s">
        <v>75</v>
      </c>
      <c r="H104" s="81" t="s">
        <v>76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124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127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126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125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278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230</v>
      </c>
      <c r="B112" s="1" t="s">
        <v>270</v>
      </c>
      <c r="C112" s="1" t="s">
        <v>271</v>
      </c>
      <c r="D112" s="70" t="s">
        <v>78</v>
      </c>
      <c r="E112" s="70" t="s">
        <v>74</v>
      </c>
      <c r="F112" s="70" t="s">
        <v>77</v>
      </c>
      <c r="G112" s="70" t="s">
        <v>75</v>
      </c>
      <c r="H112" s="70" t="s">
        <v>76</v>
      </c>
    </row>
    <row r="113" spans="1:8" ht="13" customHeight="1" x14ac:dyDescent="0.3">
      <c r="A113" s="4"/>
      <c r="B113" s="8" t="s">
        <v>84</v>
      </c>
      <c r="C113" s="3" t="s">
        <v>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273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274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272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102</v>
      </c>
      <c r="C117" s="3" t="s">
        <v>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273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274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272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273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274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272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3</v>
      </c>
      <c r="C125" s="3" t="s">
        <v>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273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274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272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2</v>
      </c>
      <c r="C129" s="3" t="s">
        <v>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273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274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272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99</v>
      </c>
      <c r="C133" s="3" t="s">
        <v>7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273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274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272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279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282</v>
      </c>
      <c r="B139" s="4" t="s">
        <v>270</v>
      </c>
      <c r="C139" s="4" t="s">
        <v>281</v>
      </c>
      <c r="D139" s="70" t="s">
        <v>78</v>
      </c>
      <c r="E139" s="70" t="s">
        <v>74</v>
      </c>
      <c r="F139" s="70" t="s">
        <v>77</v>
      </c>
      <c r="G139" s="70" t="s">
        <v>75</v>
      </c>
      <c r="H139" s="70" t="s">
        <v>76</v>
      </c>
    </row>
    <row r="140" spans="1:8" ht="13" customHeight="1" x14ac:dyDescent="0.3">
      <c r="A140" s="4"/>
      <c r="B140" s="8" t="s">
        <v>84</v>
      </c>
      <c r="C140" s="3" t="s">
        <v>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273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6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207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102</v>
      </c>
      <c r="C144" s="3" t="s">
        <v>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273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6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207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273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6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207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3</v>
      </c>
      <c r="C152" s="3" t="s">
        <v>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273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6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207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2</v>
      </c>
      <c r="C156" s="3" t="s">
        <v>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273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6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207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99</v>
      </c>
      <c r="C160" s="3" t="s">
        <v>7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273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6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207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276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105</v>
      </c>
      <c r="B166" s="4" t="s">
        <v>270</v>
      </c>
      <c r="C166" s="69" t="s">
        <v>267</v>
      </c>
      <c r="D166" s="70" t="s">
        <v>113</v>
      </c>
      <c r="E166" s="70" t="s">
        <v>114</v>
      </c>
      <c r="F166" s="70" t="s">
        <v>115</v>
      </c>
      <c r="G166" s="70" t="s">
        <v>116</v>
      </c>
      <c r="H166" s="79"/>
    </row>
    <row r="167" spans="1:8" ht="13" customHeight="1" x14ac:dyDescent="0.3">
      <c r="A167" s="4"/>
      <c r="B167" s="8" t="s">
        <v>81</v>
      </c>
      <c r="C167" s="3" t="s">
        <v>275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268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89</v>
      </c>
      <c r="C169" s="3" t="s">
        <v>275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268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275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268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277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123</v>
      </c>
      <c r="B175" s="4" t="s">
        <v>270</v>
      </c>
      <c r="C175" s="69" t="s">
        <v>269</v>
      </c>
      <c r="D175" s="70" t="s">
        <v>78</v>
      </c>
      <c r="E175" s="70" t="s">
        <v>74</v>
      </c>
      <c r="F175" s="70" t="s">
        <v>77</v>
      </c>
      <c r="G175" s="70" t="s">
        <v>75</v>
      </c>
      <c r="H175" s="81" t="s">
        <v>76</v>
      </c>
    </row>
    <row r="176" spans="1:8" ht="13" customHeight="1" x14ac:dyDescent="0.3">
      <c r="A176" s="82"/>
      <c r="B176" s="8" t="s">
        <v>93</v>
      </c>
      <c r="C176" s="3" t="s">
        <v>124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127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126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125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97</v>
      </c>
      <c r="C180" s="3" t="s">
        <v>124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127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126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125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95</v>
      </c>
      <c r="C184" s="3" t="s">
        <v>124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127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126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125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96</v>
      </c>
      <c r="C188" s="3" t="s">
        <v>124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127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126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125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84</v>
      </c>
      <c r="C192" s="3" t="s">
        <v>124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127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126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125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102</v>
      </c>
      <c r="C196" s="3" t="s">
        <v>124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127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126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125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124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127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126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125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2</v>
      </c>
      <c r="C204" s="3" t="s">
        <v>124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127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126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125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101</v>
      </c>
      <c r="C208" s="3" t="s">
        <v>124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127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126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125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84</v>
      </c>
      <c r="B214" s="82" t="s">
        <v>125</v>
      </c>
      <c r="C214" s="69" t="s">
        <v>269</v>
      </c>
      <c r="D214" s="70" t="s">
        <v>78</v>
      </c>
      <c r="E214" s="70" t="s">
        <v>74</v>
      </c>
      <c r="F214" s="70" t="s">
        <v>77</v>
      </c>
      <c r="G214" s="70" t="s">
        <v>75</v>
      </c>
      <c r="H214" s="81" t="s">
        <v>76</v>
      </c>
    </row>
    <row r="215" spans="1:9" ht="13" customHeight="1" x14ac:dyDescent="0.3">
      <c r="A215" s="4"/>
      <c r="C215" s="3" t="s">
        <v>124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127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126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125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245</v>
      </c>
      <c r="H220" s="92"/>
    </row>
    <row r="221" spans="1:9" ht="13" customHeight="1" x14ac:dyDescent="0.3">
      <c r="A221" s="67" t="s">
        <v>278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230</v>
      </c>
      <c r="B222" s="1" t="s">
        <v>270</v>
      </c>
      <c r="C222" s="1" t="s">
        <v>271</v>
      </c>
      <c r="D222" s="70" t="s">
        <v>78</v>
      </c>
      <c r="E222" s="70" t="s">
        <v>74</v>
      </c>
      <c r="F222" s="70" t="s">
        <v>77</v>
      </c>
      <c r="G222" s="70" t="s">
        <v>75</v>
      </c>
      <c r="H222" s="70" t="s">
        <v>76</v>
      </c>
      <c r="I222" s="79"/>
    </row>
    <row r="223" spans="1:9" ht="13" customHeight="1" x14ac:dyDescent="0.3">
      <c r="A223" s="4"/>
      <c r="B223" s="8" t="s">
        <v>84</v>
      </c>
      <c r="C223" s="3" t="s">
        <v>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273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274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272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102</v>
      </c>
      <c r="C227" s="3" t="s">
        <v>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273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274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272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273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274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272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3</v>
      </c>
      <c r="C235" s="3" t="s">
        <v>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273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274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272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2</v>
      </c>
      <c r="C239" s="3" t="s">
        <v>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273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274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272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99</v>
      </c>
      <c r="C243" s="3" t="s">
        <v>7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273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274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272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279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282</v>
      </c>
      <c r="B249" s="4" t="s">
        <v>270</v>
      </c>
      <c r="C249" s="4" t="s">
        <v>281</v>
      </c>
      <c r="D249" s="70" t="s">
        <v>78</v>
      </c>
      <c r="E249" s="70" t="s">
        <v>74</v>
      </c>
      <c r="F249" s="70" t="s">
        <v>77</v>
      </c>
      <c r="G249" s="70" t="s">
        <v>75</v>
      </c>
      <c r="H249" s="70" t="s">
        <v>76</v>
      </c>
      <c r="I249" s="79"/>
    </row>
    <row r="250" spans="1:9" ht="13" customHeight="1" x14ac:dyDescent="0.3">
      <c r="A250" s="4"/>
      <c r="B250" s="8" t="s">
        <v>84</v>
      </c>
      <c r="C250" s="3" t="s">
        <v>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273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6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207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102</v>
      </c>
      <c r="C254" s="3" t="s">
        <v>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273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6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207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273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6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207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3</v>
      </c>
      <c r="C262" s="3" t="s">
        <v>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273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6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207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2</v>
      </c>
      <c r="C266" s="3" t="s">
        <v>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273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6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207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99</v>
      </c>
      <c r="C270" s="3" t="s">
        <v>7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273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6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207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276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105</v>
      </c>
      <c r="B276" s="4" t="s">
        <v>270</v>
      </c>
      <c r="C276" s="69" t="s">
        <v>267</v>
      </c>
      <c r="D276" s="70" t="s">
        <v>113</v>
      </c>
      <c r="E276" s="70" t="s">
        <v>114</v>
      </c>
      <c r="F276" s="70" t="s">
        <v>115</v>
      </c>
      <c r="G276" s="70" t="s">
        <v>116</v>
      </c>
      <c r="H276" s="79"/>
    </row>
    <row r="277" spans="1:9" ht="13" customHeight="1" x14ac:dyDescent="0.3">
      <c r="A277" s="4"/>
      <c r="B277" s="8" t="s">
        <v>81</v>
      </c>
      <c r="C277" s="3" t="s">
        <v>275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268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89</v>
      </c>
      <c r="C279" s="3" t="s">
        <v>275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268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275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268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277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123</v>
      </c>
      <c r="B285" s="4" t="s">
        <v>270</v>
      </c>
      <c r="C285" s="69" t="s">
        <v>269</v>
      </c>
      <c r="D285" s="70" t="s">
        <v>78</v>
      </c>
      <c r="E285" s="70" t="s">
        <v>74</v>
      </c>
      <c r="F285" s="70" t="s">
        <v>77</v>
      </c>
      <c r="G285" s="70" t="s">
        <v>75</v>
      </c>
      <c r="H285" s="81" t="s">
        <v>76</v>
      </c>
      <c r="I285" s="79"/>
    </row>
    <row r="286" spans="1:9" ht="13" customHeight="1" x14ac:dyDescent="0.3">
      <c r="A286" s="82"/>
      <c r="B286" s="8" t="s">
        <v>93</v>
      </c>
      <c r="C286" s="3" t="s">
        <v>124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127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126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125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97</v>
      </c>
      <c r="C290" s="3" t="s">
        <v>124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127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126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125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95</v>
      </c>
      <c r="C294" s="3" t="s">
        <v>124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127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126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125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96</v>
      </c>
      <c r="C298" s="3" t="s">
        <v>124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127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126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125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84</v>
      </c>
      <c r="C302" s="3" t="s">
        <v>124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127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126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125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102</v>
      </c>
      <c r="C306" s="3" t="s">
        <v>124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127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126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125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124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127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126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125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2</v>
      </c>
      <c r="C314" s="3" t="s">
        <v>124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127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126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125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101</v>
      </c>
      <c r="C318" s="3" t="s">
        <v>124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127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126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125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84</v>
      </c>
      <c r="B324" s="82" t="s">
        <v>125</v>
      </c>
      <c r="C324" s="69" t="s">
        <v>269</v>
      </c>
      <c r="D324" s="70" t="s">
        <v>78</v>
      </c>
      <c r="E324" s="70" t="s">
        <v>74</v>
      </c>
      <c r="F324" s="70" t="s">
        <v>77</v>
      </c>
      <c r="G324" s="70" t="s">
        <v>75</v>
      </c>
      <c r="H324" s="81" t="s">
        <v>76</v>
      </c>
      <c r="I324" s="79"/>
    </row>
    <row r="325" spans="1:9" ht="13" customHeight="1" x14ac:dyDescent="0.3">
      <c r="A325" s="4"/>
      <c r="C325" s="3" t="s">
        <v>124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127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126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125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eJdEHFSop99VbAAsRsck78bQREcRO1+x7ODI6q5krO0+qmzLfRWBcI/tkHPaJVbD5/TSCVKKUKbQ94TLDnX1QA==" saltValue="CB9Qy/YEzq/CasdOExei8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313</v>
      </c>
    </row>
    <row r="2" spans="1:7" ht="14.25" customHeight="1" x14ac:dyDescent="0.3">
      <c r="A2" s="82" t="s">
        <v>208</v>
      </c>
      <c r="B2" s="1"/>
      <c r="C2" s="4" t="s">
        <v>78</v>
      </c>
      <c r="D2" s="4" t="s">
        <v>74</v>
      </c>
      <c r="E2" s="4" t="s">
        <v>77</v>
      </c>
      <c r="F2" s="4" t="s">
        <v>75</v>
      </c>
      <c r="G2" s="4" t="s">
        <v>76</v>
      </c>
    </row>
    <row r="3" spans="1:7" ht="14.25" customHeight="1" x14ac:dyDescent="0.25">
      <c r="B3" s="11" t="s">
        <v>300</v>
      </c>
      <c r="C3" s="90" t="s">
        <v>8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286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283</v>
      </c>
    </row>
    <row r="6" spans="1:7" ht="14.25" customHeight="1" x14ac:dyDescent="0.25">
      <c r="B6" s="5" t="s">
        <v>193</v>
      </c>
      <c r="C6" s="90">
        <v>1</v>
      </c>
      <c r="D6" s="90">
        <v>1</v>
      </c>
      <c r="E6" s="90">
        <f>IF(ISBLANK('Distribución estado nutricional'!$E$4),0.64, (0.64*SUM('Distribución estado nutricional'!$E$4:$E$5)/(1-0.64*SUM('Distribución estado nutricional'!$E$4:$E$5)))
/ (SUM('Distribución estado nutricional'!$E$4:$E$5)/(1-SUM('Distribución estado nutricional'!$E$4:$E$5))))</f>
        <v>0.62835038510438812</v>
      </c>
      <c r="F6" s="90">
        <f>IF(ISBLANK('Distribución estado nutricional'!$F$4),0.64, (0.64*SUM('Distribución estado nutricional'!$F$4:$F$5)/(1-0.64*SUM('Distribución estado nutricional'!$F$4:$F$5)))/ (SUM('Distribución estado nutricional'!$F$4:$F$5)/(1-SUM('Distribución estado nutricional'!$F$4:$F$5))))</f>
        <v>0.63090558422521681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0.87459500345591679</v>
      </c>
      <c r="F7" s="90">
        <f>IF(ISBLANK('Distribución estado nutricional'!$F$4),0.88, (0.88*SUM('Distribución estado nutricional'!$F$4:$F$5)/(1-0.88*SUM('Distribución estado nutricional'!$F$4:$F$5)))/ (SUM('Distribución estado nutricional'!$F$4:$F$5)/(1-SUM('Distribución estado nutricional'!$F$4:$F$5))))</f>
        <v>0.87579186092995243</v>
      </c>
      <c r="G7" s="90">
        <v>1</v>
      </c>
    </row>
    <row r="8" spans="1:7" ht="14.25" customHeight="1" x14ac:dyDescent="0.25">
      <c r="B8" s="5" t="s">
        <v>204</v>
      </c>
      <c r="C8" s="90">
        <v>1</v>
      </c>
      <c r="D8" s="90">
        <v>1</v>
      </c>
      <c r="E8" s="90">
        <f>IF(ISBLANK('Distribución estado nutricional'!$E$4),0.88, (0.88*SUM('Distribución estado nutricional'!$E$4:$E$5)/(1-0.88*SUM('Distribución estado nutricional'!$E$4:$E$5)))/ (SUM('Distribución estado nutricional'!$E$4:$E$5)/(1-SUM('Distribución estado nutricional'!$E$4:$E$5))))</f>
        <v>0.87459500345591679</v>
      </c>
      <c r="F8" s="90">
        <f>IF(ISBLANK('Distribución estado nutricional'!$F$4),0.88, (0.88*SUM('Distribución estado nutricional'!$F$4:$F$5)/(1-0.88*SUM('Distribución estado nutricional'!$F$4:$F$5)))/ (SUM('Distribución estado nutricional'!$F$4:$F$5)/(1-SUM('Distribución estado nutricional'!$F$4:$F$5))))</f>
        <v>0.87579186092995243</v>
      </c>
      <c r="G8" s="90">
        <v>1</v>
      </c>
    </row>
    <row r="9" spans="1:7" ht="14.25" customHeight="1" x14ac:dyDescent="0.25">
      <c r="B9" s="5" t="s">
        <v>203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307</v>
      </c>
    </row>
    <row r="12" spans="1:7" ht="14.25" customHeight="1" x14ac:dyDescent="0.3">
      <c r="A12" s="14"/>
      <c r="B12" s="11" t="s">
        <v>182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314</v>
      </c>
    </row>
    <row r="15" spans="1:7" ht="14.25" customHeight="1" x14ac:dyDescent="0.3">
      <c r="A15" s="82" t="s">
        <v>282</v>
      </c>
      <c r="B15" s="5" t="s">
        <v>294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291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105</v>
      </c>
      <c r="B17" s="11" t="s">
        <v>297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310</v>
      </c>
    </row>
    <row r="20" spans="1:7" s="14" customFormat="1" ht="14.25" customHeight="1" x14ac:dyDescent="0.3">
      <c r="C20" s="4" t="s">
        <v>68</v>
      </c>
      <c r="D20" s="4" t="s">
        <v>69</v>
      </c>
      <c r="E20" s="4" t="s">
        <v>70</v>
      </c>
      <c r="F20" s="4" t="s">
        <v>71</v>
      </c>
    </row>
    <row r="21" spans="1:7" x14ac:dyDescent="0.25">
      <c r="B21" s="11" t="s">
        <v>170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313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208</v>
      </c>
      <c r="B25" s="1"/>
      <c r="C25" s="4" t="s">
        <v>78</v>
      </c>
      <c r="D25" s="4" t="s">
        <v>74</v>
      </c>
      <c r="E25" s="4" t="s">
        <v>77</v>
      </c>
      <c r="F25" s="4" t="s">
        <v>75</v>
      </c>
      <c r="G25" s="4" t="s">
        <v>76</v>
      </c>
    </row>
    <row r="26" spans="1:7" x14ac:dyDescent="0.25">
      <c r="B26" s="11" t="s">
        <v>301</v>
      </c>
      <c r="C26" s="90" t="s">
        <v>8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287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284</v>
      </c>
    </row>
    <row r="29" spans="1:7" x14ac:dyDescent="0.25">
      <c r="B29" s="5" t="s">
        <v>315</v>
      </c>
      <c r="C29" s="90">
        <f t="shared" ref="C29:D32" si="0">IF(C6=1,1,C6*0.9)</f>
        <v>1</v>
      </c>
      <c r="D29" s="90">
        <f t="shared" si="0"/>
        <v>1</v>
      </c>
      <c r="E29" s="90">
        <f>IF(ISBLANK('Distribución estado nutricional'!E$4),0.44, (0.44*SUM('Distribución estado nutricional'!E$4:E$5)/(1-0.44*SUM('Distribución estado nutricional'!E$4:E$5)))/ (SUM('Distribución estado nutricional'!E$4:E$5)/(1-SUM('Distribución estado nutricional'!E$4:E$5))))</f>
        <v>0.42766611068514693</v>
      </c>
      <c r="F29" s="90">
        <f>IF(ISBLANK('Distribución estado nutricional'!F$4),0.44, (0.44*SUM('Distribución estado nutricional'!F$4:F$5)/(1-0.44*SUM('Distribución estado nutricional'!F$4:F$5)))/ (SUM('Distribución estado nutricional'!F$4:F$5)/(1-SUM('Distribución estado nutricional'!F$4:F$5))))</f>
        <v>0.430350207457456</v>
      </c>
      <c r="G29" s="90">
        <f>IF(G6=1,1,G6*0.9)</f>
        <v>1</v>
      </c>
    </row>
    <row r="30" spans="1:7" x14ac:dyDescent="0.25">
      <c r="B30" s="5" t="s">
        <v>305</v>
      </c>
      <c r="C30" s="90">
        <f t="shared" si="0"/>
        <v>1</v>
      </c>
      <c r="D30" s="90">
        <f t="shared" si="0"/>
        <v>1</v>
      </c>
      <c r="E30" s="90">
        <f>IF(ISBLANK('Distribución estado nutricional'!E$4),0.85, (0.85*SUM('Distribución estado nutricional'!E$4:E$5)/(1-0.85*SUM('Distribución estado nutricional'!E$4:E$5)))/ (SUM('Distribución estado nutricional'!E$4:E$5)/(1-SUM('Distribución estado nutricional'!E$4:E$5))))</f>
        <v>0.8434840861305658</v>
      </c>
      <c r="F30" s="90">
        <f>IF(ISBLANK('Distribución estado nutricional'!F$4),0.85, (0.85*SUM('Distribución estado nutricional'!F$4:F$5)/(1-0.85*SUM('Distribución estado nutricional'!F$4:F$5)))/ (SUM('Distribución estado nutricional'!F$4:F$5)/(1-SUM('Distribución estado nutricional'!F$4:F$5))))</f>
        <v>0.8449252171432694</v>
      </c>
      <c r="G30" s="90">
        <f>IF(G7=1,1,G7*0.9)</f>
        <v>1</v>
      </c>
    </row>
    <row r="31" spans="1:7" x14ac:dyDescent="0.25">
      <c r="B31" s="5" t="s">
        <v>319</v>
      </c>
      <c r="C31" s="90">
        <f t="shared" si="0"/>
        <v>1</v>
      </c>
      <c r="D31" s="90">
        <f t="shared" si="0"/>
        <v>1</v>
      </c>
      <c r="E31" s="90">
        <f>IF(ISBLANK('Distribución estado nutricional'!E$4),0.85, (0.85*SUM('Distribución estado nutricional'!E$4:E$5)/(1-0.85*SUM('Distribución estado nutricional'!E$4:E$5)))/ (SUM('Distribución estado nutricional'!E$4:E$5)/(1-SUM('Distribución estado nutricional'!E$4:E$5))))</f>
        <v>0.8434840861305658</v>
      </c>
      <c r="F31" s="90">
        <f>IF(ISBLANK('Distribución estado nutricional'!F$4),0.85, (0.85*SUM('Distribución estado nutricional'!F$4:F$5)/(1-0.85*SUM('Distribución estado nutricional'!F$4:F$5)))/ (SUM('Distribución estado nutricional'!F$4:F$5)/(1-SUM('Distribución estado nutricional'!F$4:F$5))))</f>
        <v>0.8449252171432694</v>
      </c>
      <c r="G31" s="90">
        <f>IF(G8=1,1,G8*0.9)</f>
        <v>1</v>
      </c>
    </row>
    <row r="32" spans="1:7" x14ac:dyDescent="0.25">
      <c r="B32" s="5" t="s">
        <v>317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308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303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314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282</v>
      </c>
      <c r="B38" s="5" t="s">
        <v>295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105</v>
      </c>
      <c r="B40" s="11" t="s">
        <v>298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311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68</v>
      </c>
      <c r="D43" s="4" t="s">
        <v>69</v>
      </c>
      <c r="E43" s="4" t="s">
        <v>70</v>
      </c>
      <c r="F43" s="4" t="s">
        <v>71</v>
      </c>
      <c r="G43" s="14"/>
    </row>
    <row r="44" spans="1:7" x14ac:dyDescent="0.25">
      <c r="B44" s="11" t="s">
        <v>289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245</v>
      </c>
    </row>
    <row r="47" spans="1:7" ht="13" customHeight="1" x14ac:dyDescent="0.3">
      <c r="A47" s="67" t="s">
        <v>313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208</v>
      </c>
      <c r="B48" s="1"/>
      <c r="C48" s="4" t="s">
        <v>78</v>
      </c>
      <c r="D48" s="4" t="s">
        <v>74</v>
      </c>
      <c r="E48" s="4" t="s">
        <v>77</v>
      </c>
      <c r="F48" s="4" t="s">
        <v>75</v>
      </c>
      <c r="G48" s="4" t="s">
        <v>76</v>
      </c>
    </row>
    <row r="49" spans="1:7" x14ac:dyDescent="0.25">
      <c r="B49" s="11" t="s">
        <v>302</v>
      </c>
      <c r="C49" s="90" t="s">
        <v>8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288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285</v>
      </c>
    </row>
    <row r="52" spans="1:7" x14ac:dyDescent="0.25">
      <c r="B52" s="5" t="s">
        <v>316</v>
      </c>
      <c r="C52" s="90">
        <f t="shared" ref="C52:D55" si="3">IF(C6=1,1,C6*1.1)</f>
        <v>1</v>
      </c>
      <c r="D52" s="90">
        <f t="shared" si="3"/>
        <v>1</v>
      </c>
      <c r="E52" s="90">
        <f>IF(ISBLANK('Distribución estado nutricional'!E$4),0.92, (0.92*SUM('Distribución estado nutricional'!E$4:E$5)/(1-0.92*SUM('Distribución estado nutricional'!E$4:E$5)))/ (SUM('Distribución estado nutricional'!E$4:E$5)/(1-SUM('Distribución estado nutricional'!E$4:E$5))))</f>
        <v>0.9162251527737405</v>
      </c>
      <c r="F52" s="90">
        <f>IF(ISBLANK('Distribución estado nutricional'!F$4),0.92, (0.92*SUM('Distribución estado nutricional'!F$4:F$5)/(1-0.92*SUM('Distribución estado nutricional'!F$4:F$5)))/ (SUM('Distribución estado nutricional'!F$4:F$5)/(1-SUM('Distribución estado nutricional'!F$4:F$5))))</f>
        <v>0.91706237203185104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IF(ISBLANK('Distribución estado nutricional'!E$4),0.91, (0.91*SUM('Distribución estado nutricional'!E$4:E$5)/(1-0.91*SUM('Distribución estado nutricional'!E$4:E$5)))/ (SUM('Distribución estado nutricional'!E$4:E$5)/(1-SUM('Distribución estado nutricional'!E$4:E$5))))</f>
        <v>0.90580160998611847</v>
      </c>
      <c r="F53" s="90">
        <f>IF(ISBLANK('Distribución estado nutricional'!F$4),0.91, (0.91*SUM('Distribución estado nutricional'!F$4:F$5)/(1-0.91*SUM('Distribución estado nutricional'!F$4:F$5)))/ (SUM('Distribución estado nutricional'!F$4:F$5)/(1-SUM('Distribución estado nutricional'!F$4:F$5))))</f>
        <v>0.90673239483005363</v>
      </c>
      <c r="G53" s="90">
        <f>IF(G7=1,1,G7*1.1)</f>
        <v>1</v>
      </c>
    </row>
    <row r="54" spans="1:7" x14ac:dyDescent="0.25">
      <c r="B54" s="5" t="s">
        <v>320</v>
      </c>
      <c r="C54" s="90">
        <f t="shared" si="3"/>
        <v>1</v>
      </c>
      <c r="D54" s="90">
        <f t="shared" si="3"/>
        <v>1</v>
      </c>
      <c r="E54" s="90">
        <f>IF(ISBLANK('Distribución estado nutricional'!E$4),0.91, (0.91*SUM('Distribución estado nutricional'!E$4:E$5)/(1-0.91*SUM('Distribución estado nutricional'!E$4:E$5)))/ (SUM('Distribución estado nutricional'!E$4:E$5)/(1-SUM('Distribución estado nutricional'!E$4:E$5))))</f>
        <v>0.90580160998611847</v>
      </c>
      <c r="F54" s="90">
        <f>IF(ISBLANK('Distribución estado nutricional'!F$4),0.91, (0.91*SUM('Distribución estado nutricional'!F$4:F$5)/(1-0.91*SUM('Distribución estado nutricional'!F$4:F$5)))/ (SUM('Distribución estado nutricional'!F$4:F$5)/(1-SUM('Distribución estado nutricional'!F$4:F$5))))</f>
        <v>0.90673239483005363</v>
      </c>
      <c r="G54" s="90">
        <f>IF(G8=1,1,G8*1.1)</f>
        <v>1</v>
      </c>
    </row>
    <row r="55" spans="1:7" x14ac:dyDescent="0.25">
      <c r="B55" s="5" t="s">
        <v>318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309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314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282</v>
      </c>
      <c r="B61" s="5" t="s">
        <v>296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293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105</v>
      </c>
      <c r="B63" s="11" t="s">
        <v>299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312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68</v>
      </c>
      <c r="D66" s="4" t="s">
        <v>69</v>
      </c>
      <c r="E66" s="4" t="s">
        <v>70</v>
      </c>
      <c r="F66" s="4" t="s">
        <v>71</v>
      </c>
      <c r="G66" s="14"/>
    </row>
    <row r="67" spans="1:7" x14ac:dyDescent="0.25">
      <c r="B67" s="11" t="s">
        <v>290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M/BgMELmkMb6Ho9PS/+qePeqiTsYXKOexJjL+RFx3q9fZs/CGPXgy1VwW7x2kKIfYgts4j+aboNSVvA4pFRWuA==" saltValue="NL+aAn8jAhAXAuV6CGvH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163</v>
      </c>
      <c r="B1" s="4"/>
      <c r="C1" s="4" t="s">
        <v>52</v>
      </c>
      <c r="D1" s="4" t="s">
        <v>59</v>
      </c>
      <c r="E1" s="4" t="s">
        <v>51</v>
      </c>
      <c r="F1" s="1" t="s">
        <v>58</v>
      </c>
    </row>
    <row r="2" spans="1:6" ht="15.75" customHeight="1" x14ac:dyDescent="0.25">
      <c r="A2" s="5" t="s">
        <v>165</v>
      </c>
      <c r="B2" s="5" t="s">
        <v>322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178</v>
      </c>
      <c r="B4" s="5" t="s">
        <v>322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179</v>
      </c>
      <c r="B6" s="5" t="s">
        <v>322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180</v>
      </c>
      <c r="B8" s="5" t="s">
        <v>322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322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191</v>
      </c>
      <c r="B12" s="5" t="s">
        <v>322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163</v>
      </c>
      <c r="B16" s="4"/>
      <c r="C16" s="4" t="s">
        <v>52</v>
      </c>
      <c r="D16" s="4" t="s">
        <v>59</v>
      </c>
      <c r="E16" s="4" t="s">
        <v>51</v>
      </c>
      <c r="F16" s="1" t="s">
        <v>58</v>
      </c>
    </row>
    <row r="17" spans="1:6" ht="15.75" customHeight="1" x14ac:dyDescent="0.25">
      <c r="A17" s="5" t="s">
        <v>165</v>
      </c>
      <c r="B17" s="5" t="s">
        <v>322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178</v>
      </c>
      <c r="B19" s="5" t="s">
        <v>322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179</v>
      </c>
      <c r="B21" s="5" t="s">
        <v>322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180</v>
      </c>
      <c r="B23" s="5" t="s">
        <v>322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322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191</v>
      </c>
      <c r="B27" s="5" t="s">
        <v>322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245</v>
      </c>
    </row>
    <row r="31" spans="1:6" ht="15.75" customHeight="1" x14ac:dyDescent="0.3">
      <c r="A31" s="1" t="s">
        <v>163</v>
      </c>
      <c r="B31" s="4"/>
      <c r="C31" s="4" t="s">
        <v>52</v>
      </c>
      <c r="D31" s="4" t="s">
        <v>59</v>
      </c>
      <c r="E31" s="4" t="s">
        <v>51</v>
      </c>
      <c r="F31" s="1" t="s">
        <v>58</v>
      </c>
    </row>
    <row r="32" spans="1:6" ht="15.75" customHeight="1" x14ac:dyDescent="0.25">
      <c r="A32" s="5" t="s">
        <v>165</v>
      </c>
      <c r="B32" s="5" t="s">
        <v>322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178</v>
      </c>
      <c r="B34" s="5" t="s">
        <v>322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179</v>
      </c>
      <c r="B36" s="5" t="s">
        <v>322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180</v>
      </c>
      <c r="B38" s="5" t="s">
        <v>322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322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191</v>
      </c>
      <c r="B42" s="5" t="s">
        <v>322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dv8mXcYTOc0w1QUtMDZSs2Xfm2nCPn64LI2A8MJ2cmH3c1WtnXp+NkvfHLYSu4VHaF01+mtjXkmLbBCStTlSRg==" saltValue="gi1OjjI8eFnyllgiZQcJs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78</v>
      </c>
      <c r="D1" s="70" t="s">
        <v>74</v>
      </c>
      <c r="E1" s="70" t="s">
        <v>77</v>
      </c>
      <c r="F1" s="70" t="s">
        <v>75</v>
      </c>
      <c r="G1" s="70" t="s">
        <v>76</v>
      </c>
      <c r="H1" s="70" t="s">
        <v>68</v>
      </c>
      <c r="I1" s="70" t="s">
        <v>69</v>
      </c>
      <c r="J1" s="70" t="s">
        <v>70</v>
      </c>
      <c r="K1" s="70" t="s">
        <v>71</v>
      </c>
      <c r="L1" s="70" t="s">
        <v>113</v>
      </c>
      <c r="M1" s="70" t="s">
        <v>114</v>
      </c>
      <c r="N1" s="70" t="s">
        <v>115</v>
      </c>
      <c r="O1" s="70" t="s">
        <v>116</v>
      </c>
    </row>
    <row r="2" spans="1:15" ht="13" customHeight="1" x14ac:dyDescent="0.3">
      <c r="A2" s="4" t="s">
        <v>326</v>
      </c>
    </row>
    <row r="3" spans="1:15" x14ac:dyDescent="0.25">
      <c r="B3" s="11" t="s">
        <v>169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174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175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176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177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178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179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180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190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204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171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172</v>
      </c>
      <c r="C19" s="90">
        <v>1</v>
      </c>
      <c r="D19" s="90">
        <v>1</v>
      </c>
      <c r="E19" s="90">
        <f>IF(ISBLANK('Distribución estado nutricional'!E$14),0.72,(0.72*'Distribución estado nutricional'!E$14/(1-0.72*'Distribución estado nutricional'!E$14))
/ ('Distribución estado nutricional'!E$14/(1-'Distribución estado nutricional'!E$14)))</f>
        <v>0.59979415050161999</v>
      </c>
      <c r="F19" s="90">
        <f>IF(ISBLANK('Distribución estado nutricional'!F$14),0.72,(0.72*'Distribución estado nutricional'!F$14/(1-0.72*'Distribución estado nutricional'!F$14))
/ ('Distribución estado nutricional'!F$14/(1-'Distribución estado nutricional'!F$14)))</f>
        <v>0.67818061059930956</v>
      </c>
      <c r="G19" s="90">
        <f>IF(ISBLANK('Distribución estado nutricional'!G$14),0.72,(0.72*'Distribución estado nutricional'!G$14/(1-0.72*'Distribución estado nutricional'!G$14))
/ ('Distribución estado nutricional'!G$14/(1-'Distribución estado nutricional'!G$14)))</f>
        <v>0.67818061059930956</v>
      </c>
      <c r="H19" s="90">
        <f>IF(ISBLANK('Distribución estado nutricional'!H$14),0.72,(0.72*'Distribución estado nutricional'!H$14/(1-0.72*'Distribución estado nutricional'!H$14))
/ ('Distribución estado nutricional'!H$14/(1-'Distribución estado nutricional'!H$14)))</f>
        <v>0.64802896218825412</v>
      </c>
      <c r="I19" s="90">
        <f>IF(ISBLANK('Distribución estado nutricional'!I$14),0.72,(0.72*'Distribución estado nutricional'!I$14/(1-0.72*'Distribución estado nutricional'!I$14))
/ ('Distribución estado nutricional'!I$14/(1-'Distribución estado nutricional'!I$14)))</f>
        <v>0.64802896218825412</v>
      </c>
      <c r="J19" s="90">
        <f>IF(ISBLANK('Distribución estado nutricional'!J$14),0.72,(0.72*'Distribución estado nutricional'!J$14/(1-0.72*'Distribución estado nutricional'!J$14))
/ ('Distribución estado nutricional'!J$14/(1-'Distribución estado nutricional'!J$14)))</f>
        <v>0.64802896218825412</v>
      </c>
      <c r="K19" s="90">
        <f>IF(ISBLANK('Distribución estado nutricional'!K$14),0.72,(0.72*'Distribución estado nutricional'!K$14/(1-0.72*'Distribución estado nutricional'!K$14))
/ ('Distribución estado nutricional'!K$14/(1-'Distribución estado nutricional'!K$14)))</f>
        <v>0.64802896218825412</v>
      </c>
      <c r="L19" s="90">
        <f>IF(ISBLANK('Distribución estado nutricional'!L$14),0.72,(0.72*'Distribución estado nutricional'!L$14/(1-0.72*'Distribución estado nutricional'!L$14))
/ ('Distribución estado nutricional'!L$14/(1-'Distribución estado nutricional'!L$14)))</f>
        <v>0.6518105849582172</v>
      </c>
      <c r="M19" s="90">
        <f>IF(ISBLANK('Distribución estado nutricional'!M$14),0.72,(0.72*'Distribución estado nutricional'!M$14/(1-0.72*'Distribución estado nutricional'!M$14))
/ ('Distribución estado nutricional'!M$14/(1-'Distribución estado nutricional'!M$14)))</f>
        <v>0.6518105849582172</v>
      </c>
      <c r="N19" s="90">
        <f>IF(ISBLANK('Distribución estado nutricional'!N$14),0.72,(0.72*'Distribución estado nutricional'!N$14/(1-0.72*'Distribución estado nutricional'!N$14))
/ ('Distribución estado nutricional'!N$14/(1-'Distribución estado nutricional'!N$14)))</f>
        <v>0.6518105849582172</v>
      </c>
      <c r="O19" s="90">
        <f>IF(ISBLANK('Distribución estado nutricional'!O$14),0.72,(0.72*'Distribución estado nutricional'!O$14/(1-0.72*'Distribución estado nutricional'!O$14))
/ ('Distribución estado nutricional'!O$14/(1-'Distribución estado nutricional'!O$14)))</f>
        <v>0.6518105849582172</v>
      </c>
    </row>
    <row r="20" spans="1:15" x14ac:dyDescent="0.25">
      <c r="B20" s="5" t="s">
        <v>173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181</v>
      </c>
      <c r="C21" s="90">
        <v>1</v>
      </c>
      <c r="D21" s="90">
        <v>1</v>
      </c>
      <c r="E21" s="90">
        <f>IF(ISBLANK('Distribución estado nutricional'!E$14),0.8,(0.8*'Distribución estado nutricional'!E$14/(1-0.8*'Distribución estado nutricional'!E$14))
/ ('Distribución estado nutricional'!E$14/(1-'Distribución estado nutricional'!E$14)))</f>
        <v>0.69981986623873249</v>
      </c>
      <c r="F21" s="90">
        <f>IF(ISBLANK('Distribución estado nutricional'!F$14),0.8,(0.8*'Distribución estado nutricional'!F$14/(1-0.8*'Distribución estado nutricional'!F$14))
/ ('Distribución estado nutricional'!F$14/(1-'Distribución estado nutricional'!F$14)))</f>
        <v>0.76624992607735976</v>
      </c>
      <c r="G21" s="90">
        <f>IF(ISBLANK('Distribución estado nutricional'!G$14),0.8,(0.8*'Distribución estado nutricional'!G$14/(1-0.8*'Distribución estado nutricional'!G$14))
/ ('Distribución estado nutricional'!G$14/(1-'Distribución estado nutricional'!G$14)))</f>
        <v>0.76624992607735976</v>
      </c>
      <c r="H21" s="90">
        <f>IF(ISBLANK('Distribución estado nutricional'!H$14),0.8,(0.8*'Distribución estado nutricional'!H$14/(1-0.8*'Distribución estado nutricional'!H$14))
/ ('Distribución estado nutricional'!H$14/(1-'Distribución estado nutricional'!H$14)))</f>
        <v>0.74120082815734989</v>
      </c>
      <c r="I21" s="90">
        <f>IF(ISBLANK('Distribución estado nutricional'!I$14),0.8,(0.8*'Distribución estado nutricional'!I$14/(1-0.8*'Distribución estado nutricional'!I$14))
/ ('Distribución estado nutricional'!I$14/(1-'Distribución estado nutricional'!I$14)))</f>
        <v>0.74120082815734989</v>
      </c>
      <c r="J21" s="90">
        <f>IF(ISBLANK('Distribución estado nutricional'!J$14),0.8,(0.8*'Distribución estado nutricional'!J$14/(1-0.8*'Distribución estado nutricional'!J$14))
/ ('Distribución estado nutricional'!J$14/(1-'Distribución estado nutricional'!J$14)))</f>
        <v>0.74120082815734989</v>
      </c>
      <c r="K21" s="90">
        <f>IF(ISBLANK('Distribución estado nutricional'!K$14),0.8,(0.8*'Distribución estado nutricional'!K$14/(1-0.8*'Distribución estado nutricional'!K$14))
/ ('Distribución estado nutricional'!K$14/(1-'Distribución estado nutricional'!K$14)))</f>
        <v>0.74120082815734989</v>
      </c>
      <c r="L21" s="90">
        <f>IF(ISBLANK('Distribución estado nutricional'!L$14),0.8,(0.8*'Distribución estado nutricional'!L$14/(1-0.8*'Distribución estado nutricional'!L$14))
/ ('Distribución estado nutricional'!L$14/(1-'Distribución estado nutricional'!L$14)))</f>
        <v>0.7443762781186094</v>
      </c>
      <c r="M21" s="90">
        <f>IF(ISBLANK('Distribución estado nutricional'!M$14),0.8,(0.8*'Distribución estado nutricional'!M$14/(1-0.8*'Distribución estado nutricional'!M$14))
/ ('Distribución estado nutricional'!M$14/(1-'Distribución estado nutricional'!M$14)))</f>
        <v>0.7443762781186094</v>
      </c>
      <c r="N21" s="90">
        <f>IF(ISBLANK('Distribución estado nutricional'!N$14),0.8,(0.8*'Distribución estado nutricional'!N$14/(1-0.8*'Distribución estado nutricional'!N$14))
/ ('Distribución estado nutricional'!N$14/(1-'Distribución estado nutricional'!N$14)))</f>
        <v>0.7443762781186094</v>
      </c>
      <c r="O21" s="90">
        <f>IF(ISBLANK('Distribución estado nutricional'!O$14),0.8,(0.8*'Distribución estado nutricional'!O$14/(1-0.8*'Distribución estado nutricional'!O$14))
/ ('Distribución estado nutricional'!O$14/(1-'Distribución estado nutricional'!O$14)))</f>
        <v>0.7443762781186094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78</v>
      </c>
      <c r="D24" s="70" t="s">
        <v>74</v>
      </c>
      <c r="E24" s="70" t="s">
        <v>77</v>
      </c>
      <c r="F24" s="70" t="s">
        <v>75</v>
      </c>
      <c r="G24" s="70" t="s">
        <v>76</v>
      </c>
      <c r="H24" s="70" t="s">
        <v>68</v>
      </c>
      <c r="I24" s="70" t="s">
        <v>69</v>
      </c>
      <c r="J24" s="70" t="s">
        <v>70</v>
      </c>
      <c r="K24" s="70" t="s">
        <v>71</v>
      </c>
      <c r="L24" s="70" t="s">
        <v>113</v>
      </c>
      <c r="M24" s="70" t="s">
        <v>114</v>
      </c>
      <c r="N24" s="70" t="s">
        <v>115</v>
      </c>
      <c r="O24" s="70" t="s">
        <v>116</v>
      </c>
    </row>
    <row r="25" spans="1:15" ht="13" customHeight="1" x14ac:dyDescent="0.3">
      <c r="A25" s="4" t="s">
        <v>327</v>
      </c>
    </row>
    <row r="26" spans="1:15" x14ac:dyDescent="0.25">
      <c r="B26" s="11" t="s">
        <v>169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174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175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176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177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178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179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180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190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191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204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324</v>
      </c>
      <c r="B40" s="11"/>
    </row>
    <row r="41" spans="1:15" x14ac:dyDescent="0.25">
      <c r="B41" s="5" t="s">
        <v>171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172</v>
      </c>
      <c r="C42" s="90">
        <f t="shared" ref="C42:D44" si="9">IF(C19=1,1,C19*0.9)</f>
        <v>1</v>
      </c>
      <c r="D42" s="90">
        <f t="shared" si="9"/>
        <v>1</v>
      </c>
      <c r="E42" s="90">
        <f>IF(ISBLANK('Distribución estado nutricional'!E$14),0.54,(0.54*'Distribución estado nutricional'!E$14/(1-0.54*'Distribución estado nutricional'!E$14))
/ ('Distribución estado nutricional'!E$14/(1-'Distribución estado nutricional'!E$14)))</f>
        <v>0.40624472673237388</v>
      </c>
      <c r="F42" s="90">
        <f>IF(ISBLANK('Distribución estado nutricional'!F$14),0.54,(0.54*'Distribución estado nutricional'!F$14/(1-0.54*'Distribución estado nutricional'!F$14))
/ ('Distribución estado nutricional'!F$14/(1-'Distribución estado nutricional'!F$14)))</f>
        <v>0.49032725576845293</v>
      </c>
      <c r="G42" s="90">
        <f>IF(ISBLANK('Distribución estado nutricional'!G$14),0.54,(0.54*'Distribución estado nutricional'!G$14/(1-0.54*'Distribución estado nutricional'!G$14))
/ ('Distribución estado nutricional'!G$14/(1-'Distribución estado nutricional'!G$14)))</f>
        <v>0.49032725576845293</v>
      </c>
      <c r="H42" s="90">
        <f>IF(ISBLANK('Distribución estado nutricional'!H$14),0.54,(0.54*'Distribución estado nutricional'!H$14/(1-0.54*'Distribución estado nutricional'!H$14))
/ ('Distribución estado nutricional'!H$14/(1-'Distribución estado nutricional'!H$14)))</f>
        <v>0.45667580081262399</v>
      </c>
      <c r="I42" s="90">
        <f>IF(ISBLANK('Distribución estado nutricional'!I$14),0.54,(0.54*'Distribución estado nutricional'!I$14/(1-0.54*'Distribución estado nutricional'!I$14))
/ ('Distribución estado nutricional'!I$14/(1-'Distribución estado nutricional'!I$14)))</f>
        <v>0.45667580081262399</v>
      </c>
      <c r="J42" s="90">
        <f>IF(ISBLANK('Distribución estado nutricional'!J$14),0.54,(0.54*'Distribución estado nutricional'!J$14/(1-0.54*'Distribución estado nutricional'!J$14))
/ ('Distribución estado nutricional'!J$14/(1-'Distribución estado nutricional'!J$14)))</f>
        <v>0.45667580081262399</v>
      </c>
      <c r="K42" s="90">
        <f>IF(ISBLANK('Distribución estado nutricional'!K$14),0.54,(0.54*'Distribución estado nutricional'!K$14/(1-0.54*'Distribución estado nutricional'!K$14))
/ ('Distribución estado nutricional'!K$14/(1-'Distribución estado nutricional'!K$14)))</f>
        <v>0.45667580081262399</v>
      </c>
      <c r="L42" s="90">
        <f>IF(ISBLANK('Distribución estado nutricional'!L$14),0.54,(0.54*'Distribución estado nutricional'!L$14/(1-0.54*'Distribución estado nutricional'!L$14))
/ ('Distribución estado nutricional'!L$14/(1-'Distribución estado nutricional'!L$14)))</f>
        <v>0.46080270067516876</v>
      </c>
      <c r="M42" s="90">
        <f>IF(ISBLANK('Distribución estado nutricional'!M$14),0.54,(0.54*'Distribución estado nutricional'!M$14/(1-0.54*'Distribución estado nutricional'!M$14))
/ ('Distribución estado nutricional'!M$14/(1-'Distribución estado nutricional'!M$14)))</f>
        <v>0.46080270067516876</v>
      </c>
      <c r="N42" s="90">
        <f>IF(ISBLANK('Distribución estado nutricional'!N$14),0.54,(0.54*'Distribución estado nutricional'!N$14/(1-0.54*'Distribución estado nutricional'!N$14))
/ ('Distribución estado nutricional'!N$14/(1-'Distribución estado nutricional'!N$14)))</f>
        <v>0.46080270067516876</v>
      </c>
      <c r="O42" s="90">
        <f>IF(ISBLANK('Distribución estado nutricional'!O$14),0.54,(0.54*'Distribución estado nutricional'!O$14/(1-0.54*'Distribución estado nutricional'!O$14))
/ ('Distribución estado nutricional'!O$14/(1-'Distribución estado nutricional'!O$14)))</f>
        <v>0.46080270067516876</v>
      </c>
    </row>
    <row r="43" spans="1:15" x14ac:dyDescent="0.25">
      <c r="B43" s="5" t="s">
        <v>173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181</v>
      </c>
      <c r="C44" s="90">
        <f t="shared" si="9"/>
        <v>1</v>
      </c>
      <c r="D44" s="90">
        <f t="shared" si="9"/>
        <v>1</v>
      </c>
      <c r="E44" s="90">
        <f>IF(ISBLANK('Distribución estado nutricional'!E$14),0.7,(0.7*'Distribución estado nutricional'!E$14/(1-0.7*'Distribución estado nutricional'!E$14))
/ ('Distribución estado nutricional'!E$14/(1-'Distribución estado nutricional'!E$14)))</f>
        <v>0.57626118155301154</v>
      </c>
      <c r="F44" s="90">
        <f>IF(ISBLANK('Distribución estado nutricional'!F$14),0.7,(0.7*'Distribución estado nutricional'!F$14/(1-0.7*'Distribución estado nutricional'!F$14))
/ ('Distribución estado nutricional'!F$14/(1-'Distribución estado nutricional'!F$14)))</f>
        <v>0.65661811658415203</v>
      </c>
      <c r="G44" s="90">
        <f>IF(ISBLANK('Distribución estado nutricional'!G$14),0.7,(0.7*'Distribución estado nutricional'!G$14/(1-0.7*'Distribución estado nutricional'!G$14))
/ ('Distribución estado nutricional'!G$14/(1-'Distribución estado nutricional'!G$14)))</f>
        <v>0.65661811658415203</v>
      </c>
      <c r="H44" s="90">
        <f>IF(ISBLANK('Distribución estado nutricional'!H$14),0.7,(0.7*'Distribución estado nutricional'!H$14/(1-0.7*'Distribución estado nutricional'!H$14))
/ ('Distribución estado nutricional'!H$14/(1-'Distribución estado nutricional'!H$14)))</f>
        <v>0.62556165751372939</v>
      </c>
      <c r="I44" s="90">
        <f>IF(ISBLANK('Distribución estado nutricional'!I$14),0.7,(0.7*'Distribución estado nutricional'!I$14/(1-0.7*'Distribución estado nutricional'!I$14))
/ ('Distribución estado nutricional'!I$14/(1-'Distribución estado nutricional'!I$14)))</f>
        <v>0.62556165751372939</v>
      </c>
      <c r="J44" s="90">
        <f>IF(ISBLANK('Distribución estado nutricional'!J$14),0.7,(0.7*'Distribución estado nutricional'!J$14/(1-0.7*'Distribución estado nutricional'!J$14))
/ ('Distribución estado nutricional'!J$14/(1-'Distribución estado nutricional'!J$14)))</f>
        <v>0.62556165751372939</v>
      </c>
      <c r="K44" s="90">
        <f>IF(ISBLANK('Distribución estado nutricional'!K$14),0.7,(0.7*'Distribución estado nutricional'!K$14/(1-0.7*'Distribución estado nutricional'!K$14))
/ ('Distribución estado nutricional'!K$14/(1-'Distribución estado nutricional'!K$14)))</f>
        <v>0.62556165751372939</v>
      </c>
      <c r="L44" s="90">
        <f>IF(ISBLANK('Distribución estado nutricional'!L$14),0.7,(0.7*'Distribución estado nutricional'!L$14/(1-0.7*'Distribución estado nutricional'!L$14))
/ ('Distribución estado nutricional'!L$14/(1-'Distribución estado nutricional'!L$14)))</f>
        <v>0.62944664031620556</v>
      </c>
      <c r="M44" s="90">
        <f>IF(ISBLANK('Distribución estado nutricional'!M$14),0.7,(0.7*'Distribución estado nutricional'!M$14/(1-0.7*'Distribución estado nutricional'!M$14))
/ ('Distribución estado nutricional'!M$14/(1-'Distribución estado nutricional'!M$14)))</f>
        <v>0.62944664031620556</v>
      </c>
      <c r="N44" s="90">
        <f>IF(ISBLANK('Distribución estado nutricional'!N$14),0.7,(0.7*'Distribución estado nutricional'!N$14/(1-0.7*'Distribución estado nutricional'!N$14))
/ ('Distribución estado nutricional'!N$14/(1-'Distribución estado nutricional'!N$14)))</f>
        <v>0.62944664031620556</v>
      </c>
      <c r="O44" s="90">
        <f>IF(ISBLANK('Distribución estado nutricional'!O$14),0.7,(0.7*'Distribución estado nutricional'!O$14/(1-0.7*'Distribución estado nutricional'!O$14))
/ ('Distribución estado nutricional'!O$14/(1-'Distribución estado nutricional'!O$14)))</f>
        <v>0.62944664031620556</v>
      </c>
    </row>
    <row r="46" spans="1:15" s="92" customFormat="1" ht="13" customHeight="1" x14ac:dyDescent="0.3">
      <c r="A46" s="92" t="s">
        <v>245</v>
      </c>
    </row>
    <row r="47" spans="1:15" ht="26" customHeight="1" x14ac:dyDescent="0.3">
      <c r="A47" s="4"/>
      <c r="B47" s="4"/>
      <c r="C47" s="70" t="s">
        <v>78</v>
      </c>
      <c r="D47" s="70" t="s">
        <v>74</v>
      </c>
      <c r="E47" s="70" t="s">
        <v>77</v>
      </c>
      <c r="F47" s="70" t="s">
        <v>75</v>
      </c>
      <c r="G47" s="70" t="s">
        <v>76</v>
      </c>
      <c r="H47" s="70" t="s">
        <v>68</v>
      </c>
      <c r="I47" s="70" t="s">
        <v>69</v>
      </c>
      <c r="J47" s="70" t="s">
        <v>70</v>
      </c>
      <c r="K47" s="70" t="s">
        <v>71</v>
      </c>
      <c r="L47" s="70" t="s">
        <v>113</v>
      </c>
      <c r="M47" s="70" t="s">
        <v>114</v>
      </c>
      <c r="N47" s="70" t="s">
        <v>115</v>
      </c>
      <c r="O47" s="70" t="s">
        <v>116</v>
      </c>
    </row>
    <row r="48" spans="1:15" ht="13" customHeight="1" x14ac:dyDescent="0.3">
      <c r="A48" s="4" t="s">
        <v>328</v>
      </c>
    </row>
    <row r="49" spans="1:15" x14ac:dyDescent="0.25">
      <c r="B49" s="11" t="s">
        <v>169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174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175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176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177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178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179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180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190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191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204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325</v>
      </c>
      <c r="B63" s="11"/>
    </row>
    <row r="64" spans="1:15" x14ac:dyDescent="0.25">
      <c r="B64" s="5" t="s">
        <v>171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172</v>
      </c>
      <c r="C65" s="90">
        <f t="shared" ref="C65:D67" si="20">IF(C19=1,1,C19*1.05)</f>
        <v>1</v>
      </c>
      <c r="D65" s="90">
        <f t="shared" si="20"/>
        <v>1</v>
      </c>
      <c r="E65" s="90">
        <f>IF(ISBLANK('Distribución estado nutricional'!E$14),0.97,(0.97*'Distribución estado nutricional'!E$14/(1-0.97*'Distribución estado nutricional'!E$14))
/ ('Distribución estado nutricional'!E$14/(1-'Distribución estado nutricional'!E$14)))</f>
        <v>0.94960932649836316</v>
      </c>
      <c r="F65" s="90">
        <f>IF(ISBLANK('Distribución estado nutricional'!F$14),0.97,(0.97*'Distribución estado nutricional'!F$14/(1-0.97*'Distribución estado nutricional'!F$14))
/ ('Distribución estado nutricional'!F$14/(1-'Distribución estado nutricional'!F$14)))</f>
        <v>0.96363340260168928</v>
      </c>
      <c r="G65" s="90">
        <f>IF(ISBLANK('Distribución estado nutricional'!G$14),0.97,(0.97*'Distribución estado nutricional'!G$14/(1-0.97*'Distribución estado nutricional'!G$14))
/ ('Distribución estado nutricional'!G$14/(1-'Distribución estado nutricional'!G$14)))</f>
        <v>0.96363340260168928</v>
      </c>
      <c r="H65" s="90">
        <f>IF(ISBLANK('Distribución estado nutricional'!H$14),0.97,(0.97*'Distribución estado nutricional'!H$14/(1-0.97*'Distribución estado nutricional'!H$14))
/ ('Distribución estado nutricional'!H$14/(1-'Distribución estado nutricional'!H$14)))</f>
        <v>0.95859327554794882</v>
      </c>
      <c r="I65" s="90">
        <f>IF(ISBLANK('Distribución estado nutricional'!I$14),0.97,(0.97*'Distribución estado nutricional'!I$14/(1-0.97*'Distribución estado nutricional'!I$14))
/ ('Distribución estado nutricional'!I$14/(1-'Distribución estado nutricional'!I$14)))</f>
        <v>0.95859327554794882</v>
      </c>
      <c r="J65" s="90">
        <f>IF(ISBLANK('Distribución estado nutricional'!J$14),0.97,(0.97*'Distribución estado nutricional'!J$14/(1-0.97*'Distribución estado nutricional'!J$14))
/ ('Distribución estado nutricional'!J$14/(1-'Distribución estado nutricional'!J$14)))</f>
        <v>0.95859327554794882</v>
      </c>
      <c r="K65" s="90">
        <f>IF(ISBLANK('Distribución estado nutricional'!K$14),0.97,(0.97*'Distribución estado nutricional'!K$14/(1-0.97*'Distribución estado nutricional'!K$14))
/ ('Distribución estado nutricional'!K$14/(1-'Distribución estado nutricional'!K$14)))</f>
        <v>0.95859327554794882</v>
      </c>
      <c r="L65" s="90">
        <f>IF(ISBLANK('Distribución estado nutricional'!L$14),0.97,(0.97*'Distribución estado nutricional'!L$14/(1-0.97*'Distribución estado nutricional'!L$14))
/ ('Distribución estado nutricional'!L$14/(1-'Distribución estado nutricional'!L$14)))</f>
        <v>0.95924798956748525</v>
      </c>
      <c r="M65" s="90">
        <f>IF(ISBLANK('Distribución estado nutricional'!M$14),0.97,(0.97*'Distribución estado nutricional'!M$14/(1-0.97*'Distribución estado nutricional'!M$14))
/ ('Distribución estado nutricional'!M$14/(1-'Distribución estado nutricional'!M$14)))</f>
        <v>0.95924798956748525</v>
      </c>
      <c r="N65" s="90">
        <f>IF(ISBLANK('Distribución estado nutricional'!N$14),0.97,(0.97*'Distribución estado nutricional'!N$14/(1-0.97*'Distribución estado nutricional'!N$14))
/ ('Distribución estado nutricional'!N$14/(1-'Distribución estado nutricional'!N$14)))</f>
        <v>0.95924798956748525</v>
      </c>
      <c r="O65" s="90">
        <f>IF(ISBLANK('Distribución estado nutricional'!O$14),0.97,(0.97*'Distribución estado nutricional'!O$14/(1-0.97*'Distribución estado nutricional'!O$14))
/ ('Distribución estado nutricional'!O$14/(1-'Distribución estado nutricional'!O$14)))</f>
        <v>0.95924798956748525</v>
      </c>
    </row>
    <row r="66" spans="2:15" x14ac:dyDescent="0.25">
      <c r="B66" s="5" t="s">
        <v>173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181</v>
      </c>
      <c r="C67" s="90">
        <f t="shared" si="20"/>
        <v>1</v>
      </c>
      <c r="D67" s="90">
        <f t="shared" si="20"/>
        <v>1</v>
      </c>
      <c r="E67" s="90">
        <f>IF(ISBLANK('Distribución estado nutricional'!E$14),0.92,(0.92*'Distribución estado nutricional'!E$14/(1-0.92*'Distribución estado nutricional'!E$14))
/ ('Distribución estado nutricional'!E$14/(1-'Distribución estado nutricional'!E$14)))</f>
        <v>0.87017341284529781</v>
      </c>
      <c r="F67" s="90">
        <f>IF(ISBLANK('Distribución estado nutricional'!F$14),0.92,(0.92*'Distribución estado nutricional'!F$14/(1-0.92*'Distribución estado nutricional'!F$14))
/ ('Distribución estado nutricional'!F$14/(1-'Distribución estado nutricional'!F$14)))</f>
        <v>0.90407178209681927</v>
      </c>
      <c r="G67" s="90">
        <f>IF(ISBLANK('Distribución estado nutricional'!G$14),0.92,(0.92*'Distribución estado nutricional'!G$14/(1-0.92*'Distribución estado nutricional'!G$14))
/ ('Distribución estado nutricional'!G$14/(1-'Distribución estado nutricional'!G$14)))</f>
        <v>0.90407178209681927</v>
      </c>
      <c r="H67" s="90">
        <f>IF(ISBLANK('Distribución estado nutricional'!H$14),0.92,(0.92*'Distribución estado nutricional'!H$14/(1-0.92*'Distribución estado nutricional'!H$14))
/ ('Distribución estado nutricional'!H$14/(1-'Distribución estado nutricional'!H$14)))</f>
        <v>0.89170457006714332</v>
      </c>
      <c r="I67" s="90">
        <f>IF(ISBLANK('Distribución estado nutricional'!I$14),0.92,(0.92*'Distribución estado nutricional'!I$14/(1-0.92*'Distribución estado nutricional'!I$14))
/ ('Distribución estado nutricional'!I$14/(1-'Distribución estado nutricional'!I$14)))</f>
        <v>0.89170457006714332</v>
      </c>
      <c r="J67" s="90">
        <f>IF(ISBLANK('Distribución estado nutricional'!J$14),0.92,(0.92*'Distribución estado nutricional'!J$14/(1-0.92*'Distribución estado nutricional'!J$14))
/ ('Distribución estado nutricional'!J$14/(1-'Distribución estado nutricional'!J$14)))</f>
        <v>0.89170457006714332</v>
      </c>
      <c r="K67" s="90">
        <f>IF(ISBLANK('Distribución estado nutricional'!K$14),0.92,(0.92*'Distribución estado nutricional'!K$14/(1-0.92*'Distribución estado nutricional'!K$14))
/ ('Distribución estado nutricional'!K$14/(1-'Distribución estado nutricional'!K$14)))</f>
        <v>0.89170457006714332</v>
      </c>
      <c r="L67" s="90">
        <f>IF(ISBLANK('Distribución estado nutricional'!L$14),0.92,(0.92*'Distribución estado nutricional'!L$14/(1-0.92*'Distribución estado nutricional'!L$14))
/ ('Distribución estado nutricional'!L$14/(1-'Distribución estado nutricional'!L$14)))</f>
        <v>0.89329918907383687</v>
      </c>
      <c r="M67" s="90">
        <f>IF(ISBLANK('Distribución estado nutricional'!M$14),0.92,(0.92*'Distribución estado nutricional'!M$14/(1-0.92*'Distribución estado nutricional'!M$14))
/ ('Distribución estado nutricional'!M$14/(1-'Distribución estado nutricional'!M$14)))</f>
        <v>0.89329918907383687</v>
      </c>
      <c r="N67" s="90">
        <f>IF(ISBLANK('Distribución estado nutricional'!N$14),0.92,(0.92*'Distribución estado nutricional'!N$14/(1-0.92*'Distribución estado nutricional'!N$14))
/ ('Distribución estado nutricional'!N$14/(1-'Distribución estado nutricional'!N$14)))</f>
        <v>0.89329918907383687</v>
      </c>
      <c r="O67" s="90">
        <f>IF(ISBLANK('Distribución estado nutricional'!O$14),0.92,(0.92*'Distribución estado nutricional'!O$14/(1-0.92*'Distribución estado nutricional'!O$14))
/ ('Distribución estado nutricional'!O$14/(1-'Distribución estado nutricional'!O$14)))</f>
        <v>0.89329918907383687</v>
      </c>
    </row>
  </sheetData>
  <sheetProtection algorithmName="SHA-512" hashValue="0H/gZqlMa8keZZWhoHTKu6sf2K8elOHQLccS1fqy3oMnrpTdCGngFprDTp30d2ND4SIJ+nLtl5TdQBO9jWvCcA==" saltValue="UFSlibIk+jT7PYf7IpEAJ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78</v>
      </c>
      <c r="D1" s="4" t="s">
        <v>74</v>
      </c>
      <c r="E1" s="4" t="s">
        <v>77</v>
      </c>
      <c r="F1" s="4" t="s">
        <v>75</v>
      </c>
      <c r="G1" s="4" t="s">
        <v>76</v>
      </c>
    </row>
    <row r="2" spans="1:7" ht="13" customHeight="1" x14ac:dyDescent="0.3">
      <c r="A2" s="4" t="s">
        <v>333</v>
      </c>
    </row>
    <row r="3" spans="1:7" ht="13.25" customHeight="1" x14ac:dyDescent="0.25">
      <c r="B3" s="11" t="s">
        <v>164</v>
      </c>
      <c r="C3" s="90">
        <v>1</v>
      </c>
      <c r="D3" s="90" t="e">
        <f>IF(ISBLANK('Distribución estado nutricional'!D$11),(1/1.33),((1/1.33)*'Distribución estado nutricional'!D$11/(1-(1/1.33)*'Distribución estado nutricional'!D$11))
/ ('Distribución estado nutricional'!D$11/(1-'Distribución estado nutricional'!D$11)))</f>
        <v>#DIV/0!</v>
      </c>
      <c r="E3" s="90">
        <f>IF(ISBLANK('Distribución estado nutricional'!E$11),(1/1.33),((1/1.33)*'Distribución estado nutricional'!E$11/(1-(1/1.33)*'Distribución estado nutricional'!E$11))
/ ('Distribución estado nutricional'!E$11/(1-'Distribución estado nutricional'!E$11)))</f>
        <v>0.74932941935579755</v>
      </c>
      <c r="F3" s="90">
        <f>IF(ISBLANK('Distribución estado nutricional'!F$11),(1/1.33),((1/1.33)*'Distribución estado nutricional'!F$11/(1-(1/1.33)*'Distribución estado nutricional'!F$11))
/ ('Distribución estado nutricional'!F$11/(1-'Distribución estado nutricional'!F$11)))</f>
        <v>0.75073559114834787</v>
      </c>
      <c r="G3" s="90">
        <f>IF(ISBLANK('Distribución estado nutricional'!G$11),(1/1.33),((1/1.33)*'Distribución estado nutricional'!G$11/(1-(1/1.33)*'Distribución estado nutricional'!G$11))
/ ('Distribución estado nutricional'!G$11/(1-'Distribución estado nutricional'!G$11)))</f>
        <v>0.75112859937314502</v>
      </c>
    </row>
    <row r="4" spans="1:7" ht="13" customHeight="1" x14ac:dyDescent="0.3">
      <c r="A4" s="4" t="s">
        <v>330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162</v>
      </c>
      <c r="C5" s="90">
        <v>1</v>
      </c>
      <c r="D5" s="90">
        <f>IF(ISBLANK('Distribución estado nutricional'!D$10),(1/1.33),((1/1.33)*'Distribución estado nutricional'!D$10/(1-(1/1.33)*'Distribución estado nutricional'!D$10))
/ ('Distribución estado nutricional'!D$10/(1-'Distribución estado nutricional'!D$10)))</f>
        <v>0.73843335595432991</v>
      </c>
      <c r="E5" s="90">
        <f>IF(ISBLANK('Distribución estado nutricional'!E$10),(1/1.33),((1/1.33)*'Distribución estado nutricional'!E$10/(1-(1/1.33)*'Distribución estado nutricional'!E$10))
/ ('Distribución estado nutricional'!E$10/(1-'Distribución estado nutricional'!E$10)))</f>
        <v>0.74703129942100499</v>
      </c>
      <c r="F5" s="90">
        <f>IF(ISBLANK('Distribución estado nutricional'!F$10),(1/1.33),((1/1.33)*'Distribución estado nutricional'!F$10/(1-(1/1.33)*'Distribución estado nutricional'!F$10))
/ ('Distribución estado nutricional'!F$10/(1-'Distribución estado nutricional'!F$10)))</f>
        <v>0.75132945169744858</v>
      </c>
      <c r="G5" s="90">
        <f>IF(ISBLANK('Distribución estado nutricional'!G$10),(1/1.33),((1/1.33)*'Distribución estado nutricional'!G$10/(1-(1/1.33)*'Distribución estado nutricional'!G$10))
/ ('Distribución estado nutricional'!G$10/(1-'Distribución estado nutricional'!G$10)))</f>
        <v>0.74805800514600529</v>
      </c>
    </row>
    <row r="7" spans="1:7" s="92" customFormat="1" ht="13" customHeight="1" x14ac:dyDescent="0.3">
      <c r="A7" s="92" t="s">
        <v>329</v>
      </c>
    </row>
    <row r="8" spans="1:7" ht="13" customHeight="1" x14ac:dyDescent="0.3">
      <c r="A8" s="4"/>
      <c r="B8" s="1"/>
      <c r="C8" s="4" t="s">
        <v>78</v>
      </c>
      <c r="D8" s="4" t="s">
        <v>74</v>
      </c>
      <c r="E8" s="4" t="s">
        <v>77</v>
      </c>
      <c r="F8" s="4" t="s">
        <v>75</v>
      </c>
      <c r="G8" s="4" t="s">
        <v>76</v>
      </c>
    </row>
    <row r="9" spans="1:7" ht="13" customHeight="1" x14ac:dyDescent="0.3">
      <c r="A9" s="4" t="s">
        <v>334</v>
      </c>
    </row>
    <row r="10" spans="1:7" ht="13.25" customHeight="1" x14ac:dyDescent="0.25">
      <c r="B10" s="11" t="s">
        <v>164</v>
      </c>
      <c r="C10" s="90">
        <v>1</v>
      </c>
      <c r="D10" s="90" t="e">
        <f>IF(ISBLANK('Distribución estado nutricional'!D$11),(1/1.54),((1/1.54)*'Distribución estado nutricional'!D$11/(1-(1/1.54)*'Distribución estado nutricional'!D$11))
/ ('Distribución estado nutricional'!D$11/(1-'Distribución estado nutricional'!D$11)))</f>
        <v>#DIV/0!</v>
      </c>
      <c r="E10" s="90">
        <f>IF(ISBLANK('Distribución estado nutricional'!E$11),(1/1.54),((1/1.54)*'Distribución estado nutricional'!E$11/(1-(1/1.54)*'Distribución estado nutricional'!E$11))
/ ('Distribución estado nutricional'!E$11/(1-'Distribución estado nutricional'!E$11)))</f>
        <v>0.64624236153568682</v>
      </c>
      <c r="F10" s="90">
        <f>IF(ISBLANK('Distribución estado nutricional'!F$11),(1/1.54),((1/1.54)*'Distribución estado nutricional'!F$11/(1-(1/1.54)*'Distribución estado nutricional'!F$11))
/ ('Distribución estado nutricional'!F$11/(1-'Distribución estado nutricional'!F$11)))</f>
        <v>0.64795513043459974</v>
      </c>
      <c r="G10" s="90">
        <f>IF(ISBLANK('Distribución estado nutricional'!G$11),(1/1.54),((1/1.54)*'Distribución estado nutricional'!G$11/(1-(1/1.54)*'Distribución estado nutricional'!G$11))
/ ('Distribución estado nutricional'!G$11/(1-'Distribución estado nutricional'!G$11)))</f>
        <v>0.6484343020338984</v>
      </c>
    </row>
    <row r="11" spans="1:7" ht="13" customHeight="1" x14ac:dyDescent="0.3">
      <c r="A11" s="4" t="s">
        <v>331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162</v>
      </c>
      <c r="C12" s="90">
        <v>1</v>
      </c>
      <c r="D12" s="90">
        <f>IF(ISBLANK('Distribución estado nutricional'!D$10),(1/1.54),((1/1.54)*'Distribución estado nutricional'!D$10/(1-(1/1.54)*'Distribución estado nutricional'!D$10))
/ ('Distribución estado nutricional'!D$10/(1-'Distribución estado nutricional'!D$10)))</f>
        <v>0.63305963040514313</v>
      </c>
      <c r="E12" s="90">
        <f>IF(ISBLANK('Distribución estado nutricional'!E$10),(1/1.54),((1/1.54)*'Distribución estado nutricional'!E$10/(1-(1/1.54)*'Distribución estado nutricional'!E$10))
/ ('Distribución estado nutricional'!E$10/(1-'Distribución estado nutricional'!E$10)))</f>
        <v>0.64344885057288703</v>
      </c>
      <c r="F12" s="90">
        <f>IF(ISBLANK('Distribución estado nutricional'!F$10),(1/1.54),((1/1.54)*'Distribución estado nutricional'!F$10/(1-(1/1.54)*'Distribución estado nutricional'!F$10))
/ ('Distribución estado nutricional'!F$10/(1-'Distribución estado nutricional'!F$10)))</f>
        <v>0.64867926925185737</v>
      </c>
      <c r="G12" s="90">
        <f>IF(ISBLANK('Distribución estado nutricional'!G$10),(1/1.54),((1/1.54)*'Distribución estado nutricional'!G$10/(1-(1/1.54)*'Distribución estado nutricional'!G$10))
/ ('Distribución estado nutricional'!G$10/(1-'Distribución estado nutricional'!G$10)))</f>
        <v>0.64469600645627889</v>
      </c>
    </row>
    <row r="14" spans="1:7" s="92" customFormat="1" ht="13" customHeight="1" x14ac:dyDescent="0.3">
      <c r="A14" s="92" t="s">
        <v>336</v>
      </c>
    </row>
    <row r="15" spans="1:7" ht="13" customHeight="1" x14ac:dyDescent="0.3">
      <c r="A15" s="4"/>
      <c r="B15" s="1"/>
      <c r="C15" s="4" t="s">
        <v>78</v>
      </c>
      <c r="D15" s="4" t="s">
        <v>74</v>
      </c>
      <c r="E15" s="4" t="s">
        <v>77</v>
      </c>
      <c r="F15" s="4" t="s">
        <v>75</v>
      </c>
      <c r="G15" s="4" t="s">
        <v>76</v>
      </c>
    </row>
    <row r="16" spans="1:7" ht="13" customHeight="1" x14ac:dyDescent="0.3">
      <c r="A16" s="4" t="s">
        <v>335</v>
      </c>
    </row>
    <row r="17" spans="1:7" ht="13.25" customHeight="1" x14ac:dyDescent="0.25">
      <c r="B17" s="11" t="s">
        <v>164</v>
      </c>
      <c r="C17" s="90">
        <v>1</v>
      </c>
      <c r="D17" s="90" t="e">
        <f>IF(ISBLANK('Distribución estado nutricional'!D$11),(1/1.16),((1/1.16)*'Distribución estado nutricional'!D$11/(1-(1/1.16)*'Distribución estado nutricional'!D$11))
/ ('Distribución estado nutricional'!D$11/(1-'Distribución estado nutricional'!D$11)))</f>
        <v>#DIV/0!</v>
      </c>
      <c r="E17" s="90">
        <f>IF(ISBLANK('Distribución estado nutricional'!E$11),(1/1.16),((1/1.16)*'Distribución estado nutricional'!E$11/(1-(1/1.16)*'Distribución estado nutricional'!E$11))
/ ('Distribución estado nutricional'!E$11/(1-'Distribución estado nutricional'!E$11)))</f>
        <v>0.86044103497395996</v>
      </c>
      <c r="F17" s="90">
        <f>IF(ISBLANK('Distribución estado nutricional'!F$11),(1/1.16),((1/1.16)*'Distribución estado nutricional'!F$11/(1-(1/1.16)*'Distribución estado nutricional'!F$11))
/ ('Distribución estado nutricional'!F$11/(1-'Distribución estado nutricional'!F$11)))</f>
        <v>0.86133924931922012</v>
      </c>
      <c r="G17" s="90">
        <f>IF(ISBLANK('Distribución estado nutricional'!G$11),(1/1.16),((1/1.16)*'Distribución estado nutricional'!G$11/(1-(1/1.16)*'Distribución estado nutricional'!G$11))
/ ('Distribución estado nutricional'!G$11/(1-'Distribución estado nutricional'!G$11)))</f>
        <v>0.86159002260881989</v>
      </c>
    </row>
    <row r="18" spans="1:7" ht="13" customHeight="1" x14ac:dyDescent="0.3">
      <c r="A18" s="4" t="s">
        <v>332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162</v>
      </c>
      <c r="C19" s="90">
        <v>1</v>
      </c>
      <c r="D19" s="90">
        <f>IF(ISBLANK('Distribución estado nutricional'!D$10),(1/1.16),((1/1.16)*'Distribución estado nutricional'!D$10/(1-(1/1.16)*'Distribución estado nutricional'!D$10))
/ ('Distribución estado nutricional'!D$10/(1-'Distribución estado nutricional'!D$10)))</f>
        <v>0.85343002465443485</v>
      </c>
      <c r="E19" s="90">
        <f>IF(ISBLANK('Distribución estado nutricional'!E$10),(1/1.16),((1/1.16)*'Distribución estado nutricional'!E$10/(1-(1/1.16)*'Distribución estado nutricional'!E$10))
/ ('Distribución estado nutricional'!E$10/(1-'Distribución estado nutricional'!E$10)))</f>
        <v>0.85896985370531298</v>
      </c>
      <c r="F19" s="90">
        <f>IF(ISBLANK('Distribución estado nutricional'!F$10),(1/1.16),((1/1.16)*'Distribución estado nutricional'!F$10/(1-(1/1.16)*'Distribución estado nutricional'!F$10))
/ ('Distribución estado nutricional'!F$10/(1-'Distribución estado nutricional'!F$10)))</f>
        <v>0.86171813882070925</v>
      </c>
      <c r="G19" s="90">
        <f>IF(ISBLANK('Distribución estado nutricional'!G$10),(1/1.16),((1/1.16)*'Distribución estado nutricional'!G$10/(1-(1/1.16)*'Distribución estado nutricional'!G$10))
/ ('Distribución estado nutricional'!G$10/(1-'Distribución estado nutricional'!G$10)))</f>
        <v>0.85962761184673631</v>
      </c>
    </row>
  </sheetData>
  <sheetProtection algorithmName="SHA-512" hashValue="DZCmbuFpBdhDyXRmJmFf+Cqtu34ialA8WgArgjva0WVo8oaAkfh7n+dDhKewfi0OpxdEwOvyZeHfDIkRGye4Og==" saltValue="m56YxDFvt8BcRfVUtphn5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163</v>
      </c>
      <c r="B1" s="4" t="s">
        <v>340</v>
      </c>
      <c r="C1" s="82" t="s">
        <v>9</v>
      </c>
      <c r="D1" s="4" t="s">
        <v>78</v>
      </c>
      <c r="E1" s="4" t="s">
        <v>74</v>
      </c>
      <c r="F1" s="4" t="s">
        <v>77</v>
      </c>
      <c r="G1" s="4" t="s">
        <v>75</v>
      </c>
      <c r="H1" s="4" t="s">
        <v>76</v>
      </c>
    </row>
    <row r="2" spans="1:8" ht="13.25" customHeight="1" x14ac:dyDescent="0.25">
      <c r="A2" s="5" t="s">
        <v>196</v>
      </c>
      <c r="B2" s="5" t="s">
        <v>84</v>
      </c>
      <c r="C2" s="5" t="s">
        <v>337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338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193</v>
      </c>
      <c r="B5" s="5" t="s">
        <v>207</v>
      </c>
      <c r="C5" s="5" t="s">
        <v>337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338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6</v>
      </c>
      <c r="C7" s="5" t="s">
        <v>337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338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184</v>
      </c>
      <c r="B9" s="5" t="s">
        <v>207</v>
      </c>
      <c r="C9" s="5" t="s">
        <v>337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338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6</v>
      </c>
      <c r="C11" s="5" t="s">
        <v>337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338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204</v>
      </c>
      <c r="B13" s="5" t="s">
        <v>207</v>
      </c>
      <c r="C13" s="5" t="s">
        <v>337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338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6</v>
      </c>
      <c r="C15" s="5" t="s">
        <v>337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338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167</v>
      </c>
      <c r="B17" s="5" t="s">
        <v>207</v>
      </c>
      <c r="C17" s="5" t="s">
        <v>337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338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6</v>
      </c>
      <c r="C19" s="5" t="s">
        <v>337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338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173</v>
      </c>
      <c r="B21" s="5" t="s">
        <v>92</v>
      </c>
      <c r="C21" s="5" t="s">
        <v>337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171</v>
      </c>
      <c r="B23" s="5" t="s">
        <v>92</v>
      </c>
      <c r="C23" s="5" t="s">
        <v>337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172</v>
      </c>
      <c r="B25" s="5" t="s">
        <v>92</v>
      </c>
      <c r="C25" s="5" t="s">
        <v>337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200</v>
      </c>
      <c r="B27" s="5" t="s">
        <v>84</v>
      </c>
      <c r="C27" s="5" t="s">
        <v>337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338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201</v>
      </c>
      <c r="B30" s="5" t="s">
        <v>84</v>
      </c>
      <c r="C30" s="5" t="s">
        <v>337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338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199</v>
      </c>
      <c r="B33" s="5" t="s">
        <v>84</v>
      </c>
      <c r="C33" s="5" t="s">
        <v>337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338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198</v>
      </c>
      <c r="B36" s="5" t="s">
        <v>84</v>
      </c>
      <c r="C36" s="5" t="s">
        <v>337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338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197</v>
      </c>
      <c r="B39" s="5" t="s">
        <v>84</v>
      </c>
      <c r="C39" s="5" t="s">
        <v>337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338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203</v>
      </c>
      <c r="B42" s="5" t="s">
        <v>84</v>
      </c>
      <c r="C42" s="5" t="s">
        <v>337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338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102</v>
      </c>
      <c r="C45" s="5" t="s">
        <v>337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338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192</v>
      </c>
      <c r="B48" s="5" t="s">
        <v>84</v>
      </c>
      <c r="C48" s="5" t="s">
        <v>337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202</v>
      </c>
      <c r="B50" s="5" t="s">
        <v>84</v>
      </c>
      <c r="C50" s="5" t="s">
        <v>337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182</v>
      </c>
      <c r="B52" s="5" t="s">
        <v>96</v>
      </c>
      <c r="C52" s="5" t="s">
        <v>337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339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329</v>
      </c>
      <c r="B55" s="97"/>
      <c r="C55" s="97"/>
    </row>
    <row r="56" spans="1:8" ht="13" customHeight="1" x14ac:dyDescent="0.3">
      <c r="A56" s="4" t="s">
        <v>163</v>
      </c>
      <c r="B56" s="4" t="s">
        <v>340</v>
      </c>
      <c r="C56" s="82" t="s">
        <v>9</v>
      </c>
      <c r="D56" s="4" t="s">
        <v>78</v>
      </c>
      <c r="E56" s="4" t="s">
        <v>74</v>
      </c>
      <c r="F56" s="4" t="s">
        <v>77</v>
      </c>
      <c r="G56" s="4" t="s">
        <v>75</v>
      </c>
      <c r="H56" s="4" t="s">
        <v>76</v>
      </c>
    </row>
    <row r="57" spans="1:8" ht="13.25" customHeight="1" x14ac:dyDescent="0.25">
      <c r="A57" s="5" t="s">
        <v>196</v>
      </c>
      <c r="B57" s="5" t="s">
        <v>84</v>
      </c>
      <c r="C57" s="5" t="s">
        <v>337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338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193</v>
      </c>
      <c r="B60" s="5" t="s">
        <v>207</v>
      </c>
      <c r="C60" s="5" t="s">
        <v>337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338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6</v>
      </c>
      <c r="C62" s="5" t="s">
        <v>337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338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184</v>
      </c>
      <c r="B64" s="5" t="s">
        <v>207</v>
      </c>
      <c r="C64" s="5" t="s">
        <v>337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338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6</v>
      </c>
      <c r="C66" s="5" t="s">
        <v>337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338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204</v>
      </c>
      <c r="B68" s="5" t="s">
        <v>207</v>
      </c>
      <c r="C68" s="5" t="s">
        <v>337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338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6</v>
      </c>
      <c r="C70" s="5" t="s">
        <v>337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338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167</v>
      </c>
      <c r="B72" s="5" t="s">
        <v>207</v>
      </c>
      <c r="C72" s="5" t="s">
        <v>337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338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6</v>
      </c>
      <c r="C74" s="5" t="s">
        <v>337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338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173</v>
      </c>
      <c r="B76" s="5" t="s">
        <v>92</v>
      </c>
      <c r="C76" s="5" t="s">
        <v>337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171</v>
      </c>
      <c r="B78" s="5" t="s">
        <v>92</v>
      </c>
      <c r="C78" s="5" t="s">
        <v>337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172</v>
      </c>
      <c r="B80" s="5" t="s">
        <v>92</v>
      </c>
      <c r="C80" s="5" t="s">
        <v>337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200</v>
      </c>
      <c r="B82" s="5" t="s">
        <v>84</v>
      </c>
      <c r="C82" s="5" t="s">
        <v>337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338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201</v>
      </c>
      <c r="B85" s="5" t="s">
        <v>84</v>
      </c>
      <c r="C85" s="5" t="s">
        <v>337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338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199</v>
      </c>
      <c r="B88" s="5" t="s">
        <v>84</v>
      </c>
      <c r="C88" s="5" t="s">
        <v>337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338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198</v>
      </c>
      <c r="B91" s="5" t="s">
        <v>84</v>
      </c>
      <c r="C91" s="5" t="s">
        <v>337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338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197</v>
      </c>
      <c r="B94" s="5" t="s">
        <v>84</v>
      </c>
      <c r="C94" s="5" t="s">
        <v>337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338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203</v>
      </c>
      <c r="B97" s="5" t="s">
        <v>84</v>
      </c>
      <c r="C97" s="5" t="s">
        <v>337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338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102</v>
      </c>
      <c r="C100" s="5" t="s">
        <v>337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338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192</v>
      </c>
      <c r="B103" s="5" t="s">
        <v>84</v>
      </c>
      <c r="C103" s="5" t="s">
        <v>337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202</v>
      </c>
      <c r="B105" s="5" t="s">
        <v>84</v>
      </c>
      <c r="C105" s="5" t="s">
        <v>337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182</v>
      </c>
      <c r="B107" s="5" t="s">
        <v>96</v>
      </c>
      <c r="C107" s="5" t="s">
        <v>337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336</v>
      </c>
      <c r="B110" s="97"/>
      <c r="C110" s="97"/>
    </row>
    <row r="111" spans="1:8" ht="13" customHeight="1" x14ac:dyDescent="0.3">
      <c r="A111" s="4" t="s">
        <v>163</v>
      </c>
      <c r="B111" s="4" t="s">
        <v>340</v>
      </c>
      <c r="C111" s="82" t="s">
        <v>9</v>
      </c>
      <c r="D111" s="4" t="s">
        <v>78</v>
      </c>
      <c r="E111" s="4" t="s">
        <v>74</v>
      </c>
      <c r="F111" s="4" t="s">
        <v>77</v>
      </c>
      <c r="G111" s="4" t="s">
        <v>75</v>
      </c>
      <c r="H111" s="4" t="s">
        <v>76</v>
      </c>
    </row>
    <row r="112" spans="1:8" x14ac:dyDescent="0.25">
      <c r="A112" s="5" t="s">
        <v>196</v>
      </c>
      <c r="B112" s="5" t="s">
        <v>84</v>
      </c>
      <c r="C112" s="5" t="s">
        <v>337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338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193</v>
      </c>
      <c r="B115" s="5" t="s">
        <v>207</v>
      </c>
      <c r="C115" s="5" t="s">
        <v>337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338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6</v>
      </c>
      <c r="C117" s="5" t="s">
        <v>337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338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207</v>
      </c>
      <c r="C119" s="5" t="s">
        <v>337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338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6</v>
      </c>
      <c r="C121" s="5" t="s">
        <v>337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338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204</v>
      </c>
      <c r="B123" s="5" t="s">
        <v>207</v>
      </c>
      <c r="C123" s="5" t="s">
        <v>337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338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6</v>
      </c>
      <c r="C125" s="5" t="s">
        <v>337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338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167</v>
      </c>
      <c r="B127" s="5" t="s">
        <v>207</v>
      </c>
      <c r="C127" s="5" t="s">
        <v>337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338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6</v>
      </c>
      <c r="C129" s="5" t="s">
        <v>337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338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173</v>
      </c>
      <c r="B131" s="5" t="s">
        <v>92</v>
      </c>
      <c r="C131" s="5" t="s">
        <v>337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171</v>
      </c>
      <c r="B133" s="5" t="s">
        <v>92</v>
      </c>
      <c r="C133" s="5" t="s">
        <v>337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172</v>
      </c>
      <c r="B135" s="5" t="s">
        <v>92</v>
      </c>
      <c r="C135" s="5" t="s">
        <v>337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200</v>
      </c>
      <c r="B137" s="5" t="s">
        <v>84</v>
      </c>
      <c r="C137" s="5" t="s">
        <v>337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338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201</v>
      </c>
      <c r="B140" s="5" t="s">
        <v>84</v>
      </c>
      <c r="C140" s="5" t="s">
        <v>337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338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199</v>
      </c>
      <c r="B143" s="5" t="s">
        <v>84</v>
      </c>
      <c r="C143" s="5" t="s">
        <v>337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338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198</v>
      </c>
      <c r="B146" s="5" t="s">
        <v>84</v>
      </c>
      <c r="C146" s="5" t="s">
        <v>337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338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197</v>
      </c>
      <c r="B149" s="5" t="s">
        <v>84</v>
      </c>
      <c r="C149" s="5" t="s">
        <v>337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338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203</v>
      </c>
      <c r="B152" s="5" t="s">
        <v>84</v>
      </c>
      <c r="C152" s="5" t="s">
        <v>337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338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102</v>
      </c>
      <c r="C155" s="5" t="s">
        <v>337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338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192</v>
      </c>
      <c r="B158" s="5" t="s">
        <v>84</v>
      </c>
      <c r="C158" s="5" t="s">
        <v>337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202</v>
      </c>
      <c r="B160" s="5" t="s">
        <v>84</v>
      </c>
      <c r="C160" s="5" t="s">
        <v>337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182</v>
      </c>
      <c r="B162" s="5" t="s">
        <v>96</v>
      </c>
      <c r="C162" s="5" t="s">
        <v>337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xL/7AYFeBoJUeNAQjeDXMfNiM53T3jdkrAW0w8vCfMLqIFSsKj+VzaJ9aa/4CQzzOBq9DkDpBJBHL55Z59ymjQ==" saltValue="/KNQ0lpGmdF/4KRp7MYWB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163</v>
      </c>
      <c r="B1" s="1" t="s">
        <v>340</v>
      </c>
      <c r="C1" s="1"/>
      <c r="D1" s="4" t="s">
        <v>113</v>
      </c>
      <c r="E1" s="4" t="s">
        <v>114</v>
      </c>
      <c r="F1" s="4" t="s">
        <v>115</v>
      </c>
      <c r="G1" s="4" t="s">
        <v>116</v>
      </c>
      <c r="H1" s="4"/>
    </row>
    <row r="2" spans="1:8" ht="13.25" customHeight="1" x14ac:dyDescent="0.25">
      <c r="A2" s="3" t="s">
        <v>166</v>
      </c>
      <c r="B2" s="8" t="s">
        <v>86</v>
      </c>
      <c r="C2" s="3" t="s">
        <v>337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189</v>
      </c>
      <c r="B4" s="8" t="s">
        <v>86</v>
      </c>
      <c r="C4" s="3" t="s">
        <v>337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188</v>
      </c>
      <c r="B6" s="8" t="s">
        <v>86</v>
      </c>
      <c r="C6" s="3" t="s">
        <v>337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329</v>
      </c>
    </row>
    <row r="10" spans="1:8" ht="13" customHeight="1" x14ac:dyDescent="0.3">
      <c r="A10" s="1" t="s">
        <v>163</v>
      </c>
      <c r="B10" s="1" t="s">
        <v>340</v>
      </c>
      <c r="C10" s="1"/>
      <c r="D10" s="4" t="s">
        <v>113</v>
      </c>
      <c r="E10" s="4" t="s">
        <v>114</v>
      </c>
      <c r="F10" s="4" t="s">
        <v>115</v>
      </c>
      <c r="G10" s="4" t="s">
        <v>116</v>
      </c>
    </row>
    <row r="11" spans="1:8" ht="13.25" customHeight="1" x14ac:dyDescent="0.25">
      <c r="A11" s="3" t="s">
        <v>166</v>
      </c>
      <c r="B11" s="8" t="s">
        <v>86</v>
      </c>
      <c r="C11" s="3" t="s">
        <v>337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189</v>
      </c>
      <c r="B13" s="8" t="s">
        <v>86</v>
      </c>
      <c r="C13" s="3" t="s">
        <v>337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188</v>
      </c>
      <c r="B15" s="8" t="s">
        <v>86</v>
      </c>
      <c r="C15" s="3" t="s">
        <v>337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336</v>
      </c>
    </row>
    <row r="19" spans="1:7" ht="13" customHeight="1" x14ac:dyDescent="0.3">
      <c r="A19" s="1" t="s">
        <v>163</v>
      </c>
      <c r="B19" s="1" t="s">
        <v>340</v>
      </c>
      <c r="C19" s="1"/>
      <c r="D19" s="4" t="s">
        <v>113</v>
      </c>
      <c r="E19" s="4" t="s">
        <v>114</v>
      </c>
      <c r="F19" s="4" t="s">
        <v>115</v>
      </c>
      <c r="G19" s="4" t="s">
        <v>116</v>
      </c>
    </row>
    <row r="20" spans="1:7" ht="13.25" customHeight="1" x14ac:dyDescent="0.25">
      <c r="A20" s="3" t="s">
        <v>166</v>
      </c>
      <c r="B20" s="8" t="s">
        <v>86</v>
      </c>
      <c r="C20" s="3" t="s">
        <v>337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189</v>
      </c>
      <c r="B22" s="8" t="s">
        <v>86</v>
      </c>
      <c r="C22" s="3" t="s">
        <v>337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188</v>
      </c>
      <c r="B24" s="8" t="s">
        <v>86</v>
      </c>
      <c r="C24" s="3" t="s">
        <v>337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nUQR+fjRFe39IGIIMGzPr4M7W64Z1uxJ11C7/BkpNfbk0JuGzFMvnJTwGyPAwNiBqq24dma8eNNf8k1Ry/X6ZQ==" saltValue="2LPVptv6gaBPUsdMRIv8W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lang=es</cp:keywords>
  <cp:lastModifiedBy>Tharindu Wickramaarachchi</cp:lastModifiedBy>
  <dcterms:created xsi:type="dcterms:W3CDTF">2017-08-01T10:42:13Z</dcterms:created>
  <dcterms:modified xsi:type="dcterms:W3CDTF">2024-03-18T01:09:59Z</dcterms:modified>
</cp:coreProperties>
</file>