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es\LiST countries\"/>
    </mc:Choice>
  </mc:AlternateContent>
  <xr:revisionPtr revIDLastSave="0" documentId="8_{69F3C653-93B4-43D2-AD70-6ACDB17003AF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H136" i="27"/>
  <c r="G136" i="27"/>
  <c r="F136" i="27"/>
  <c r="E136" i="27"/>
  <c r="H135" i="27"/>
  <c r="G135" i="27"/>
  <c r="F135" i="27"/>
  <c r="E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E130" i="27"/>
  <c r="D130" i="27"/>
  <c r="H129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E112" i="27"/>
  <c r="D112" i="27"/>
  <c r="H97" i="27"/>
  <c r="H152" i="27" s="1"/>
  <c r="G97" i="27"/>
  <c r="G152" i="27" s="1"/>
  <c r="F97" i="27"/>
  <c r="F152" i="27" s="1"/>
  <c r="E97" i="27"/>
  <c r="E152" i="27" s="1"/>
  <c r="D97" i="27"/>
  <c r="D152" i="27" s="1"/>
  <c r="H81" i="27"/>
  <c r="G81" i="27"/>
  <c r="F81" i="27"/>
  <c r="E81" i="27"/>
  <c r="H80" i="27"/>
  <c r="G80" i="27"/>
  <c r="F80" i="27"/>
  <c r="E80" i="27"/>
  <c r="D80" i="27"/>
  <c r="D135" i="27" s="1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D131" i="27" s="1"/>
  <c r="E75" i="27"/>
  <c r="D75" i="27"/>
  <c r="H74" i="27"/>
  <c r="G74" i="27"/>
  <c r="G129" i="27" s="1"/>
  <c r="F74" i="27"/>
  <c r="F129" i="27" s="1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H112" i="27" s="1"/>
  <c r="G57" i="27"/>
  <c r="G112" i="27" s="1"/>
  <c r="F57" i="27"/>
  <c r="F112" i="27" s="1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I40" i="2"/>
  <c r="H40" i="2"/>
  <c r="G40" i="2"/>
  <c r="H39" i="2"/>
  <c r="G39" i="2"/>
  <c r="I39" i="2" s="1"/>
  <c r="H38" i="2"/>
  <c r="I38" i="2" s="1"/>
  <c r="G38" i="2"/>
  <c r="A27" i="2"/>
  <c r="H11" i="2"/>
  <c r="I11" i="2" s="1"/>
  <c r="G11" i="2"/>
  <c r="H10" i="2"/>
  <c r="G10" i="2"/>
  <c r="I10" i="2" s="1"/>
  <c r="H9" i="2"/>
  <c r="I9" i="2" s="1"/>
  <c r="G9" i="2"/>
  <c r="H8" i="2"/>
  <c r="G8" i="2"/>
  <c r="I8" i="2" s="1"/>
  <c r="I7" i="2"/>
  <c r="H7" i="2"/>
  <c r="G7" i="2"/>
  <c r="H6" i="2"/>
  <c r="G6" i="2"/>
  <c r="I6" i="2" s="1"/>
  <c r="H5" i="2"/>
  <c r="I5" i="2" s="1"/>
  <c r="G5" i="2"/>
  <c r="H4" i="2"/>
  <c r="G4" i="2"/>
  <c r="I3" i="2"/>
  <c r="H3" i="2"/>
  <c r="G3" i="2"/>
  <c r="H2" i="2"/>
  <c r="G2" i="2"/>
  <c r="I2" i="2" s="1"/>
  <c r="A2" i="2"/>
  <c r="A39" i="2" s="1"/>
  <c r="C33" i="1"/>
  <c r="C20" i="1"/>
  <c r="I4" i="2" l="1"/>
  <c r="A33" i="2"/>
  <c r="A35" i="2"/>
  <c r="A3" i="2"/>
  <c r="A17" i="2"/>
  <c r="A19" i="2"/>
  <c r="A25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37" i="2"/>
  <c r="A29" i="2"/>
  <c r="A14" i="2"/>
  <c r="A13" i="2"/>
  <c r="A21" i="2"/>
  <c r="A22" i="2"/>
  <c r="A30" i="2"/>
  <c r="A38" i="2"/>
  <c r="A40" i="2"/>
  <c r="A15" i="2"/>
  <c r="A23" i="2"/>
  <c r="A31" i="2"/>
  <c r="A16" i="2"/>
  <c r="A24" i="2"/>
  <c r="A32" i="2"/>
  <c r="A18" i="2"/>
  <c r="A26" i="2"/>
  <c r="A3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<sst xmlns="http://schemas.openxmlformats.org/spreadsheetml/2006/main" count="2092" uniqueCount="341">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</sst>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25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19</v>
      </c>
      <c r="B1" s="29" t="s">
        <v>0</v>
      </c>
      <c r="C1" s="29" t="s">
        <v>24</v>
      </c>
    </row>
    <row r="2" spans="1:3" ht="15.9" customHeight="1" x14ac:dyDescent="0.3">
      <c r="A2" s="8" t="s">
        <v>55</v>
      </c>
      <c r="B2" s="29"/>
      <c r="C2" s="29"/>
    </row>
    <row r="3" spans="1:3" ht="15.9" customHeight="1" x14ac:dyDescent="0.3">
      <c r="A3" s="1"/>
      <c r="B3" s="5" t="s">
        <v>18</v>
      </c>
      <c r="C3" s="41">
        <v>2021</v>
      </c>
    </row>
    <row r="4" spans="1:3" ht="15.9" customHeight="1" x14ac:dyDescent="0.3">
      <c r="A4" s="1"/>
      <c r="B4" s="5" t="s">
        <v>26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50</v>
      </c>
    </row>
    <row r="7" spans="1:3" ht="15" customHeight="1" x14ac:dyDescent="0.25">
      <c r="B7" s="11" t="s">
        <v>23</v>
      </c>
      <c r="C7" s="43">
        <v>6509716.8125</v>
      </c>
    </row>
    <row r="8" spans="1:3" ht="15" customHeight="1" x14ac:dyDescent="0.25">
      <c r="B8" s="5" t="s">
        <v>44</v>
      </c>
      <c r="C8" s="44">
        <v>1E-3</v>
      </c>
    </row>
    <row r="9" spans="1:3" ht="15" customHeight="1" x14ac:dyDescent="0.25">
      <c r="B9" s="5" t="s">
        <v>43</v>
      </c>
      <c r="C9" s="45">
        <v>0.01</v>
      </c>
    </row>
    <row r="10" spans="1:3" ht="15" customHeight="1" x14ac:dyDescent="0.25">
      <c r="B10" s="5" t="s">
        <v>56</v>
      </c>
      <c r="C10" s="45">
        <v>0.8498191070556641</v>
      </c>
    </row>
    <row r="11" spans="1:3" ht="15" customHeight="1" x14ac:dyDescent="0.25">
      <c r="B11" s="5" t="s">
        <v>49</v>
      </c>
      <c r="C11" s="45">
        <v>0.88900000000000001</v>
      </c>
    </row>
    <row r="12" spans="1:3" ht="15" customHeight="1" x14ac:dyDescent="0.25">
      <c r="B12" s="5" t="s">
        <v>41</v>
      </c>
      <c r="C12" s="45">
        <v>0.373</v>
      </c>
    </row>
    <row r="13" spans="1:3" ht="15" customHeight="1" x14ac:dyDescent="0.25">
      <c r="B13" s="5" t="s">
        <v>62</v>
      </c>
      <c r="C13" s="45">
        <v>0.40300000000000002</v>
      </c>
    </row>
    <row r="14" spans="1:3" ht="15" customHeight="1" x14ac:dyDescent="0.25">
      <c r="B14" s="8"/>
    </row>
    <row r="15" spans="1:3" ht="15" customHeight="1" x14ac:dyDescent="0.3">
      <c r="A15" s="8" t="s">
        <v>28</v>
      </c>
      <c r="B15" s="14"/>
      <c r="C15" s="3"/>
    </row>
    <row r="16" spans="1:3" ht="15" customHeight="1" x14ac:dyDescent="0.25">
      <c r="B16" s="5" t="s">
        <v>33</v>
      </c>
      <c r="C16" s="45">
        <v>0.1</v>
      </c>
    </row>
    <row r="17" spans="1:3" ht="15" customHeight="1" x14ac:dyDescent="0.25">
      <c r="B17" s="5" t="s">
        <v>30</v>
      </c>
      <c r="C17" s="45">
        <v>0.7</v>
      </c>
    </row>
    <row r="18" spans="1:3" ht="15" customHeight="1" x14ac:dyDescent="0.25">
      <c r="B18" s="5" t="s">
        <v>31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34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12</v>
      </c>
    </row>
    <row r="23" spans="1:3" ht="15" customHeight="1" x14ac:dyDescent="0.25">
      <c r="B23" s="15" t="s">
        <v>45</v>
      </c>
      <c r="C23" s="45">
        <v>7.0099999999999996E-2</v>
      </c>
    </row>
    <row r="24" spans="1:3" ht="15" customHeight="1" x14ac:dyDescent="0.25">
      <c r="B24" s="15" t="s">
        <v>46</v>
      </c>
      <c r="C24" s="45">
        <v>0.54359999999999997</v>
      </c>
    </row>
    <row r="25" spans="1:3" ht="15" customHeight="1" x14ac:dyDescent="0.25">
      <c r="B25" s="15" t="s">
        <v>47</v>
      </c>
      <c r="C25" s="45">
        <v>0.36299999999999999</v>
      </c>
    </row>
    <row r="26" spans="1:3" ht="15" customHeight="1" x14ac:dyDescent="0.25">
      <c r="B26" s="15" t="s">
        <v>48</v>
      </c>
      <c r="C26" s="45">
        <v>2.3300000000000001E-2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22</v>
      </c>
      <c r="B28" s="15"/>
      <c r="C28" s="15"/>
    </row>
    <row r="29" spans="1:3" ht="14.25" customHeight="1" x14ac:dyDescent="0.25">
      <c r="B29" s="25" t="s">
        <v>27</v>
      </c>
      <c r="C29" s="45">
        <v>0.34186433168632502</v>
      </c>
    </row>
    <row r="30" spans="1:3" ht="14.25" customHeight="1" x14ac:dyDescent="0.25">
      <c r="B30" s="25" t="s">
        <v>63</v>
      </c>
      <c r="C30" s="99">
        <v>8.608449496655661E-2</v>
      </c>
    </row>
    <row r="31" spans="1:3" ht="14.25" customHeight="1" x14ac:dyDescent="0.25">
      <c r="B31" s="25" t="s">
        <v>10</v>
      </c>
      <c r="C31" s="99">
        <v>9.0131869666394693E-2</v>
      </c>
    </row>
    <row r="32" spans="1:3" ht="14.25" customHeight="1" x14ac:dyDescent="0.25">
      <c r="B32" s="25" t="s">
        <v>11</v>
      </c>
      <c r="C32" s="99">
        <v>0.481919303680723</v>
      </c>
    </row>
    <row r="33" spans="1:5" ht="13" customHeight="1" x14ac:dyDescent="0.25">
      <c r="B33" s="27" t="s">
        <v>60</v>
      </c>
      <c r="C33" s="48">
        <f>SUM(C29:C32)</f>
        <v>0.99999999999999933</v>
      </c>
    </row>
    <row r="34" spans="1:5" ht="15" customHeight="1" x14ac:dyDescent="0.25"/>
    <row r="35" spans="1:5" ht="15" customHeight="1" x14ac:dyDescent="0.3">
      <c r="A35" s="4" t="s">
        <v>20</v>
      </c>
    </row>
    <row r="36" spans="1:5" ht="15" customHeight="1" x14ac:dyDescent="0.25">
      <c r="A36" s="8" t="s">
        <v>37</v>
      </c>
      <c r="B36" s="5"/>
    </row>
    <row r="37" spans="1:5" ht="15" customHeight="1" x14ac:dyDescent="0.25">
      <c r="B37" s="11" t="s">
        <v>38</v>
      </c>
      <c r="C37" s="43">
        <v>5.2784806391885404</v>
      </c>
    </row>
    <row r="38" spans="1:5" ht="15" customHeight="1" x14ac:dyDescent="0.25">
      <c r="B38" s="11" t="s">
        <v>35</v>
      </c>
      <c r="C38" s="43">
        <v>8.6153282712556596</v>
      </c>
      <c r="D38" s="12"/>
      <c r="E38" s="13"/>
    </row>
    <row r="39" spans="1:5" ht="15" customHeight="1" x14ac:dyDescent="0.25">
      <c r="B39" s="11" t="s">
        <v>61</v>
      </c>
      <c r="C39" s="43">
        <v>10.046388231764</v>
      </c>
      <c r="D39" s="12"/>
      <c r="E39" s="12"/>
    </row>
    <row r="40" spans="1:5" ht="15" customHeight="1" x14ac:dyDescent="0.25">
      <c r="B40" s="11" t="s">
        <v>36</v>
      </c>
      <c r="C40" s="100">
        <v>0.17</v>
      </c>
    </row>
    <row r="41" spans="1:5" ht="15" customHeight="1" x14ac:dyDescent="0.25">
      <c r="B41" s="11" t="s">
        <v>32</v>
      </c>
      <c r="C41" s="45">
        <v>0.12</v>
      </c>
    </row>
    <row r="42" spans="1:5" ht="15" customHeight="1" x14ac:dyDescent="0.25">
      <c r="B42" s="11" t="s">
        <v>57</v>
      </c>
      <c r="C42" s="43">
        <v>4.4318235809999997</v>
      </c>
    </row>
    <row r="43" spans="1:5" ht="15.75" customHeight="1" x14ac:dyDescent="0.25">
      <c r="D43" s="12"/>
    </row>
    <row r="44" spans="1:5" ht="15.75" customHeight="1" x14ac:dyDescent="0.25">
      <c r="A44" s="8" t="s">
        <v>21</v>
      </c>
      <c r="D44" s="12"/>
    </row>
    <row r="45" spans="1:5" ht="15.75" customHeight="1" x14ac:dyDescent="0.25">
      <c r="B45" s="11" t="s">
        <v>52</v>
      </c>
      <c r="C45" s="45">
        <v>1.16606E-2</v>
      </c>
      <c r="D45" s="12"/>
    </row>
    <row r="46" spans="1:5" ht="15.75" customHeight="1" x14ac:dyDescent="0.25">
      <c r="B46" s="11" t="s">
        <v>51</v>
      </c>
      <c r="C46" s="45">
        <v>9.7556600000000007E-2</v>
      </c>
      <c r="D46" s="12"/>
    </row>
    <row r="47" spans="1:5" ht="15.75" customHeight="1" x14ac:dyDescent="0.25">
      <c r="B47" s="11" t="s">
        <v>59</v>
      </c>
      <c r="C47" s="45">
        <v>7.6106300000000002E-2</v>
      </c>
      <c r="D47" s="12"/>
      <c r="E47" s="13"/>
    </row>
    <row r="48" spans="1:5" ht="15" customHeight="1" x14ac:dyDescent="0.25">
      <c r="B48" s="11" t="s">
        <v>58</v>
      </c>
      <c r="C48" s="46">
        <v>0.81467650000000003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25</v>
      </c>
      <c r="D50" s="12"/>
    </row>
    <row r="51" spans="1:4" ht="15.75" customHeight="1" x14ac:dyDescent="0.25">
      <c r="B51" s="11" t="s">
        <v>17</v>
      </c>
      <c r="C51" s="100">
        <v>2.9</v>
      </c>
      <c r="D51" s="12"/>
    </row>
    <row r="52" spans="1:4" ht="15" customHeight="1" x14ac:dyDescent="0.25">
      <c r="B52" s="11" t="s">
        <v>13</v>
      </c>
      <c r="C52" s="100">
        <v>2.9</v>
      </c>
    </row>
    <row r="53" spans="1:4" ht="15.75" customHeight="1" x14ac:dyDescent="0.25">
      <c r="B53" s="11" t="s">
        <v>16</v>
      </c>
      <c r="C53" s="100">
        <v>2.9</v>
      </c>
    </row>
    <row r="54" spans="1:4" ht="15.75" customHeight="1" x14ac:dyDescent="0.25">
      <c r="B54" s="11" t="s">
        <v>14</v>
      </c>
      <c r="C54" s="100">
        <v>2.9</v>
      </c>
    </row>
    <row r="55" spans="1:4" ht="15.75" customHeight="1" x14ac:dyDescent="0.25">
      <c r="B55" s="11" t="s">
        <v>15</v>
      </c>
      <c r="C55" s="100">
        <v>2.9</v>
      </c>
    </row>
    <row r="57" spans="1:4" ht="15.75" customHeight="1" x14ac:dyDescent="0.25">
      <c r="A57" s="8" t="s">
        <v>39</v>
      </c>
    </row>
    <row r="58" spans="1:4" ht="15.75" customHeight="1" x14ac:dyDescent="0.25">
      <c r="B58" s="5" t="s">
        <v>42</v>
      </c>
      <c r="C58" s="45">
        <v>2.0689655172413789E-2</v>
      </c>
    </row>
    <row r="59" spans="1:4" ht="15.75" customHeight="1" x14ac:dyDescent="0.25">
      <c r="B59" s="11" t="s">
        <v>40</v>
      </c>
      <c r="C59" s="45">
        <v>0.59711100000000006</v>
      </c>
    </row>
    <row r="60" spans="1:4" ht="15.75" customHeight="1" x14ac:dyDescent="0.25">
      <c r="B60" s="11" t="s">
        <v>54</v>
      </c>
      <c r="C60" s="45">
        <v>4.5999999999999999E-2</v>
      </c>
    </row>
    <row r="61" spans="1:4" ht="15.75" customHeight="1" x14ac:dyDescent="0.25">
      <c r="B61" s="11" t="s">
        <v>53</v>
      </c>
      <c r="C61" s="45">
        <v>1.4E-2</v>
      </c>
    </row>
    <row r="62" spans="1:4" ht="15.75" customHeight="1" x14ac:dyDescent="0.25">
      <c r="B62" s="11" t="s">
        <v>64</v>
      </c>
      <c r="C62" s="44">
        <v>0.11396655999999999</v>
      </c>
    </row>
    <row r="63" spans="1:4" ht="15.75" customHeight="1" x14ac:dyDescent="0.3">
      <c r="A63" s="4"/>
    </row>
  </sheetData>
  <sheetProtection algorithmName="SHA-512" hashValue="KeHagnq3Vow3LC4bAAh4mldBORXiqQJIQh6t5IazCRQs+KFNyOOEjCo3Fz+bwWDzvMJmd90sb9NvLau40eT2YA==" saltValue="Y2+rgIlveHvVqD1QulJlZ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5">
      <c r="A2" s="5" t="s">
        <v>165</v>
      </c>
      <c r="B2" s="45">
        <v>0.29903725313538099</v>
      </c>
      <c r="C2" s="98">
        <v>0.95</v>
      </c>
      <c r="D2" s="56">
        <v>100.8838400123179</v>
      </c>
      <c r="E2" s="56" t="s">
        <v>183</v>
      </c>
      <c r="F2" s="98">
        <v>1</v>
      </c>
      <c r="G2" s="98">
        <v>1</v>
      </c>
    </row>
    <row r="3" spans="1:7" ht="15.75" customHeight="1" x14ac:dyDescent="0.25">
      <c r="A3" s="5" t="s">
        <v>166</v>
      </c>
      <c r="B3" s="45">
        <v>0</v>
      </c>
      <c r="C3" s="98">
        <v>0.95</v>
      </c>
      <c r="D3" s="56">
        <v>40.840660619620337</v>
      </c>
      <c r="E3" s="56" t="s">
        <v>183</v>
      </c>
      <c r="F3" s="98">
        <v>1</v>
      </c>
      <c r="G3" s="98">
        <v>1</v>
      </c>
    </row>
    <row r="4" spans="1:7" ht="15.75" customHeight="1" x14ac:dyDescent="0.25">
      <c r="A4" s="5" t="s">
        <v>167</v>
      </c>
      <c r="B4" s="98">
        <v>0</v>
      </c>
      <c r="C4" s="98">
        <v>0.95</v>
      </c>
      <c r="D4" s="56">
        <v>1086.2600399420769</v>
      </c>
      <c r="E4" s="56" t="s">
        <v>183</v>
      </c>
      <c r="F4" s="98">
        <v>1</v>
      </c>
      <c r="G4" s="98">
        <v>1</v>
      </c>
    </row>
    <row r="5" spans="1:7" ht="15.75" customHeight="1" x14ac:dyDescent="0.25">
      <c r="A5" s="5" t="s">
        <v>169</v>
      </c>
      <c r="B5" s="98">
        <v>0</v>
      </c>
      <c r="C5" s="98">
        <v>0.95</v>
      </c>
      <c r="D5" s="56">
        <v>2.9040093126562878</v>
      </c>
      <c r="E5" s="56" t="s">
        <v>183</v>
      </c>
      <c r="F5" s="98">
        <v>1</v>
      </c>
      <c r="G5" s="98">
        <v>1</v>
      </c>
    </row>
    <row r="6" spans="1:7" ht="15.75" customHeight="1" x14ac:dyDescent="0.25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5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5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5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5">
      <c r="A10" s="11" t="s">
        <v>174</v>
      </c>
      <c r="B10" s="45">
        <v>0</v>
      </c>
      <c r="C10" s="98">
        <v>0.95</v>
      </c>
      <c r="D10" s="56">
        <v>13.972960063416251</v>
      </c>
      <c r="E10" s="56" t="s">
        <v>183</v>
      </c>
      <c r="F10" s="98">
        <v>1</v>
      </c>
      <c r="G10" s="98">
        <v>1</v>
      </c>
    </row>
    <row r="11" spans="1:7" ht="15.75" customHeight="1" x14ac:dyDescent="0.25">
      <c r="A11" s="11" t="s">
        <v>175</v>
      </c>
      <c r="B11" s="98">
        <v>0</v>
      </c>
      <c r="C11" s="98">
        <v>0.95</v>
      </c>
      <c r="D11" s="56">
        <v>13.972960063416251</v>
      </c>
      <c r="E11" s="56" t="s">
        <v>183</v>
      </c>
      <c r="F11" s="98">
        <v>1</v>
      </c>
      <c r="G11" s="98">
        <v>1</v>
      </c>
    </row>
    <row r="12" spans="1:7" ht="15.75" customHeight="1" x14ac:dyDescent="0.25">
      <c r="A12" s="11" t="s">
        <v>176</v>
      </c>
      <c r="B12" s="98">
        <v>0</v>
      </c>
      <c r="C12" s="98">
        <v>0.95</v>
      </c>
      <c r="D12" s="56">
        <v>13.972960063416251</v>
      </c>
      <c r="E12" s="56" t="s">
        <v>183</v>
      </c>
      <c r="F12" s="98">
        <v>1</v>
      </c>
      <c r="G12" s="98">
        <v>1</v>
      </c>
    </row>
    <row r="13" spans="1:7" ht="15.75" customHeight="1" x14ac:dyDescent="0.25">
      <c r="A13" s="11" t="s">
        <v>177</v>
      </c>
      <c r="B13" s="98">
        <v>0</v>
      </c>
      <c r="C13" s="98">
        <v>0.95</v>
      </c>
      <c r="D13" s="56">
        <v>13.972960063416251</v>
      </c>
      <c r="E13" s="56" t="s">
        <v>183</v>
      </c>
      <c r="F13" s="98">
        <v>1</v>
      </c>
      <c r="G13" s="98">
        <v>1</v>
      </c>
    </row>
    <row r="14" spans="1:7" ht="15.75" customHeight="1" x14ac:dyDescent="0.25">
      <c r="A14" s="5" t="s">
        <v>178</v>
      </c>
      <c r="B14" s="45">
        <v>0</v>
      </c>
      <c r="C14" s="98">
        <v>0.95</v>
      </c>
      <c r="D14" s="56">
        <v>13.972960063416251</v>
      </c>
      <c r="E14" s="56" t="s">
        <v>183</v>
      </c>
      <c r="F14" s="98">
        <v>1</v>
      </c>
      <c r="G14" s="98">
        <v>1</v>
      </c>
    </row>
    <row r="15" spans="1:7" ht="15.75" customHeight="1" x14ac:dyDescent="0.25">
      <c r="A15" s="5" t="s">
        <v>179</v>
      </c>
      <c r="B15" s="98">
        <v>0</v>
      </c>
      <c r="C15" s="98">
        <v>0.95</v>
      </c>
      <c r="D15" s="56">
        <v>13.972960063416251</v>
      </c>
      <c r="E15" s="56" t="s">
        <v>183</v>
      </c>
      <c r="F15" s="98">
        <v>1</v>
      </c>
      <c r="G15" s="98">
        <v>1</v>
      </c>
    </row>
    <row r="16" spans="1:7" ht="15.75" customHeight="1" x14ac:dyDescent="0.25">
      <c r="A16" s="5" t="s">
        <v>180</v>
      </c>
      <c r="B16" s="45">
        <v>0.51849530302429203</v>
      </c>
      <c r="C16" s="98">
        <v>0.95</v>
      </c>
      <c r="D16" s="56">
        <v>1.6797258633116019</v>
      </c>
      <c r="E16" s="56" t="s">
        <v>183</v>
      </c>
      <c r="F16" s="98">
        <v>1</v>
      </c>
      <c r="G16" s="98">
        <v>1</v>
      </c>
    </row>
    <row r="17" spans="1:7" ht="15.75" customHeight="1" x14ac:dyDescent="0.25">
      <c r="A17" s="5" t="s">
        <v>181</v>
      </c>
      <c r="B17" s="98">
        <v>0.95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" customHeight="1" x14ac:dyDescent="0.25">
      <c r="A18" s="5" t="s">
        <v>151</v>
      </c>
      <c r="B18" s="98">
        <v>0</v>
      </c>
      <c r="C18" s="98">
        <v>0.95</v>
      </c>
      <c r="D18" s="56">
        <v>24.839970481111401</v>
      </c>
      <c r="E18" s="56" t="s">
        <v>183</v>
      </c>
      <c r="F18" s="98">
        <v>1</v>
      </c>
      <c r="G18" s="98">
        <v>1</v>
      </c>
    </row>
    <row r="19" spans="1:7" ht="15.75" customHeight="1" x14ac:dyDescent="0.25">
      <c r="A19" s="5" t="s">
        <v>152</v>
      </c>
      <c r="B19" s="98">
        <v>0</v>
      </c>
      <c r="C19" s="98">
        <v>0.95</v>
      </c>
      <c r="D19" s="56">
        <v>24.839970481111401</v>
      </c>
      <c r="E19" s="56" t="s">
        <v>183</v>
      </c>
      <c r="F19" s="98">
        <v>1</v>
      </c>
      <c r="G19" s="98">
        <v>1</v>
      </c>
    </row>
    <row r="20" spans="1:7" ht="15.75" customHeight="1" x14ac:dyDescent="0.25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5">
      <c r="A21" s="5" t="s">
        <v>182</v>
      </c>
      <c r="B21" s="45">
        <v>0</v>
      </c>
      <c r="C21" s="98">
        <v>0.95</v>
      </c>
      <c r="D21" s="56">
        <v>27.799382182381819</v>
      </c>
      <c r="E21" s="56" t="s">
        <v>183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24.616622973147329</v>
      </c>
      <c r="E22" s="56" t="s">
        <v>183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0</v>
      </c>
      <c r="C23" s="98">
        <v>0.95</v>
      </c>
      <c r="D23" s="56">
        <v>4.8798255494888956</v>
      </c>
      <c r="E23" s="56" t="s">
        <v>183</v>
      </c>
      <c r="F23" s="98">
        <v>1</v>
      </c>
      <c r="G23" s="98">
        <v>1</v>
      </c>
    </row>
    <row r="24" spans="1:7" ht="15.75" customHeight="1" x14ac:dyDescent="0.25">
      <c r="A24" s="5" t="s">
        <v>188</v>
      </c>
      <c r="B24" s="45">
        <v>0.77382838197471704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5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5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5">
      <c r="A27" s="5" t="s">
        <v>191</v>
      </c>
      <c r="B27" s="45">
        <v>0.26527210276061602</v>
      </c>
      <c r="C27" s="98">
        <v>0.95</v>
      </c>
      <c r="D27" s="56">
        <v>19.534604961991612</v>
      </c>
      <c r="E27" s="56" t="s">
        <v>183</v>
      </c>
      <c r="F27" s="98">
        <v>1</v>
      </c>
      <c r="G27" s="98">
        <v>1</v>
      </c>
    </row>
    <row r="28" spans="1:7" ht="15.75" customHeight="1" x14ac:dyDescent="0.25">
      <c r="A28" s="5" t="s">
        <v>192</v>
      </c>
      <c r="B28" s="45">
        <v>0.20399999999999999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5">
      <c r="A29" s="5" t="s">
        <v>193</v>
      </c>
      <c r="B29" s="45">
        <v>0</v>
      </c>
      <c r="C29" s="98">
        <v>0.95</v>
      </c>
      <c r="D29" s="56">
        <v>211.45682792792479</v>
      </c>
      <c r="E29" s="56" t="s">
        <v>183</v>
      </c>
      <c r="F29" s="98">
        <v>1</v>
      </c>
      <c r="G29" s="98">
        <v>1</v>
      </c>
    </row>
    <row r="30" spans="1:7" ht="15.75" customHeight="1" x14ac:dyDescent="0.25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5">
      <c r="A31" s="5" t="s">
        <v>164</v>
      </c>
      <c r="B31" s="45">
        <v>0</v>
      </c>
      <c r="C31" s="98">
        <v>0.95</v>
      </c>
      <c r="D31" s="56">
        <v>0.56632019569628533</v>
      </c>
      <c r="E31" s="56" t="s">
        <v>183</v>
      </c>
      <c r="F31" s="98">
        <v>1</v>
      </c>
      <c r="G31" s="98">
        <v>1</v>
      </c>
    </row>
    <row r="32" spans="1:7" ht="15.75" customHeight="1" x14ac:dyDescent="0.25">
      <c r="A32" s="5" t="s">
        <v>196</v>
      </c>
      <c r="B32" s="45">
        <v>0.29309990000000002</v>
      </c>
      <c r="C32" s="98">
        <v>0.95</v>
      </c>
      <c r="D32" s="56">
        <v>3.7054411364622579</v>
      </c>
      <c r="E32" s="56" t="s">
        <v>183</v>
      </c>
      <c r="F32" s="98">
        <v>1</v>
      </c>
      <c r="G32" s="98">
        <v>1</v>
      </c>
    </row>
    <row r="33" spans="1:7" ht="15.75" customHeight="1" x14ac:dyDescent="0.25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5">
      <c r="A34" s="5" t="s">
        <v>198</v>
      </c>
      <c r="B34" s="45">
        <v>0.97297233962778806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5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5">
      <c r="A36" s="5" t="s">
        <v>200</v>
      </c>
      <c r="B36" s="45">
        <v>0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5">
      <c r="A37" s="5" t="s">
        <v>201</v>
      </c>
      <c r="B37" s="45">
        <v>0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5">
      <c r="A38" s="5" t="s">
        <v>202</v>
      </c>
      <c r="B38" s="45">
        <v>0</v>
      </c>
      <c r="C38" s="98">
        <v>0.95</v>
      </c>
      <c r="D38" s="56">
        <v>3.7084194520624441</v>
      </c>
      <c r="E38" s="56" t="s">
        <v>183</v>
      </c>
      <c r="F38" s="98">
        <v>1</v>
      </c>
      <c r="G38" s="98">
        <v>1</v>
      </c>
    </row>
    <row r="39" spans="1:7" ht="15.75" customHeight="1" x14ac:dyDescent="0.25">
      <c r="A39" s="5" t="s">
        <v>203</v>
      </c>
      <c r="B39" s="45">
        <v>0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W5hBiG6Nm0kj1IQPRQg7O/8iGidlpESbInBR0YfCnY8xbX8pyZDdVjnYRgyRtdIwaeS1hqssLnBd2cgTDH1jiQ==" saltValue="btKfkc+LupMpG9peiSLD+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8" sqref="B7:B8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163</v>
      </c>
      <c r="B1" s="4" t="s">
        <v>205</v>
      </c>
      <c r="C1" s="4" t="s">
        <v>206</v>
      </c>
    </row>
    <row r="2" spans="1:3" ht="13.25" customHeight="1" x14ac:dyDescent="0.25">
      <c r="A2" s="57" t="s">
        <v>178</v>
      </c>
      <c r="B2" s="47" t="s">
        <v>191</v>
      </c>
      <c r="C2" s="47"/>
    </row>
    <row r="3" spans="1:3" ht="13.25" customHeight="1" x14ac:dyDescent="0.25">
      <c r="A3" s="57" t="s">
        <v>179</v>
      </c>
      <c r="B3" s="47" t="s">
        <v>191</v>
      </c>
      <c r="C3" s="47"/>
    </row>
    <row r="4" spans="1:3" ht="13.25" customHeight="1" x14ac:dyDescent="0.25">
      <c r="A4" s="57" t="s">
        <v>193</v>
      </c>
      <c r="B4" s="47" t="s">
        <v>184</v>
      </c>
      <c r="C4" s="47"/>
    </row>
    <row r="5" spans="1:3" ht="13.25" customHeight="1" x14ac:dyDescent="0.25">
      <c r="A5" s="57" t="s">
        <v>190</v>
      </c>
      <c r="B5" s="47" t="s">
        <v>184</v>
      </c>
      <c r="C5" s="47"/>
    </row>
    <row r="6" spans="1:3" ht="13.25" customHeight="1" x14ac:dyDescent="0.25">
      <c r="A6" s="57"/>
      <c r="B6" s="58"/>
      <c r="C6" s="58"/>
    </row>
    <row r="7" spans="1:3" ht="13.25" customHeight="1" x14ac:dyDescent="0.25">
      <c r="A7" s="57"/>
      <c r="B7" s="58"/>
      <c r="C7" s="58"/>
    </row>
    <row r="8" spans="1:3" ht="13.25" customHeight="1" x14ac:dyDescent="0.25">
      <c r="A8" s="57"/>
      <c r="B8" s="58"/>
      <c r="C8" s="58"/>
    </row>
    <row r="9" spans="1:3" ht="13.25" customHeight="1" x14ac:dyDescent="0.25">
      <c r="A9" s="57"/>
      <c r="B9" s="58"/>
      <c r="C9" s="58"/>
    </row>
    <row r="10" spans="1:3" ht="13.25" customHeight="1" x14ac:dyDescent="0.25">
      <c r="A10" s="57"/>
      <c r="B10" s="58"/>
      <c r="C10" s="58"/>
    </row>
    <row r="11" spans="1:3" ht="13.25" customHeight="1" x14ac:dyDescent="0.25">
      <c r="A11" s="59"/>
      <c r="B11" s="58"/>
      <c r="C11" s="58"/>
    </row>
    <row r="12" spans="1:3" ht="13.25" customHeight="1" x14ac:dyDescent="0.25">
      <c r="A12" s="59"/>
      <c r="B12" s="58"/>
      <c r="C12" s="58"/>
    </row>
    <row r="13" spans="1:3" ht="13.25" customHeight="1" x14ac:dyDescent="0.25">
      <c r="A13" s="59"/>
      <c r="B13" s="58"/>
      <c r="C13" s="58"/>
    </row>
    <row r="14" spans="1:3" ht="13.25" customHeight="1" x14ac:dyDescent="0.25">
      <c r="A14" s="59"/>
      <c r="B14" s="58"/>
      <c r="C14" s="58"/>
    </row>
    <row r="15" spans="1:3" ht="13.25" customHeight="1" x14ac:dyDescent="0.25">
      <c r="A15" s="59"/>
      <c r="B15" s="58"/>
      <c r="C15" s="58"/>
    </row>
    <row r="16" spans="1:3" ht="13.25" customHeight="1" x14ac:dyDescent="0.25">
      <c r="A16" s="59"/>
      <c r="B16" s="58"/>
      <c r="C16" s="58"/>
    </row>
    <row r="17" spans="1:3" ht="13.25" customHeight="1" x14ac:dyDescent="0.25">
      <c r="A17" s="59"/>
      <c r="B17" s="58"/>
      <c r="C17" s="58"/>
    </row>
    <row r="18" spans="1:3" ht="13.25" customHeight="1" x14ac:dyDescent="0.25">
      <c r="A18" s="59"/>
      <c r="B18" s="58"/>
      <c r="C18" s="58"/>
    </row>
    <row r="19" spans="1:3" ht="13.25" customHeight="1" x14ac:dyDescent="0.25">
      <c r="A19" s="57"/>
      <c r="B19" s="58"/>
      <c r="C19" s="58"/>
    </row>
    <row r="20" spans="1:3" ht="13.25" customHeight="1" x14ac:dyDescent="0.25">
      <c r="A20" s="57"/>
      <c r="B20" s="58"/>
      <c r="C20" s="58"/>
    </row>
  </sheetData>
  <sheetProtection algorithmName="SHA-512" hashValue="GkHpa/US/4+W+l1yg9IYpUcsDZ9IogGiJKGYcIdDWjoJ2j3Ddj2Qi5N04cgzkXRYj9Bn0CAy6oAL5zcIGCbkRA==" saltValue="ZDGR9Et+5BFHjAhCJ5GMJ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163</v>
      </c>
    </row>
    <row r="2" spans="1:1" ht="13.25" customHeight="1" x14ac:dyDescent="0.25">
      <c r="A2" s="33" t="s">
        <v>170</v>
      </c>
    </row>
    <row r="3" spans="1:1" ht="13.25" customHeight="1" x14ac:dyDescent="0.25">
      <c r="A3" s="33" t="s">
        <v>180</v>
      </c>
    </row>
    <row r="4" spans="1:1" ht="13.25" customHeight="1" x14ac:dyDescent="0.25">
      <c r="A4" s="33" t="s">
        <v>185</v>
      </c>
    </row>
    <row r="5" spans="1:1" ht="13.25" customHeight="1" x14ac:dyDescent="0.25">
      <c r="A5" s="33" t="s">
        <v>197</v>
      </c>
    </row>
    <row r="6" spans="1:1" ht="13.25" customHeight="1" x14ac:dyDescent="0.25">
      <c r="A6" s="33" t="s">
        <v>198</v>
      </c>
    </row>
    <row r="7" spans="1:1" ht="13.25" customHeight="1" x14ac:dyDescent="0.25">
      <c r="A7" s="33" t="s">
        <v>199</v>
      </c>
    </row>
    <row r="8" spans="1:1" ht="13.25" customHeight="1" x14ac:dyDescent="0.25">
      <c r="A8" s="33" t="s">
        <v>200</v>
      </c>
    </row>
    <row r="9" spans="1:1" ht="13.25" customHeight="1" x14ac:dyDescent="0.25">
      <c r="A9" s="33" t="s">
        <v>201</v>
      </c>
    </row>
    <row r="10" spans="1:1" ht="13.25" customHeight="1" x14ac:dyDescent="0.25">
      <c r="A10" s="33"/>
    </row>
    <row r="11" spans="1:1" ht="13.25" customHeight="1" x14ac:dyDescent="0.25">
      <c r="A11" s="33"/>
    </row>
    <row r="12" spans="1:1" ht="13.25" customHeight="1" x14ac:dyDescent="0.25">
      <c r="A12" s="33"/>
    </row>
    <row r="13" spans="1:1" ht="13.25" customHeight="1" x14ac:dyDescent="0.25">
      <c r="A13" s="33"/>
    </row>
    <row r="14" spans="1:1" ht="13.25" customHeight="1" x14ac:dyDescent="0.25">
      <c r="A14" s="33"/>
    </row>
    <row r="15" spans="1:1" ht="13.25" customHeight="1" x14ac:dyDescent="0.25">
      <c r="A15" s="33"/>
    </row>
    <row r="16" spans="1:1" ht="13.25" customHeight="1" x14ac:dyDescent="0.25">
      <c r="A16" s="33"/>
    </row>
    <row r="17" spans="1:1" ht="13.25" customHeight="1" x14ac:dyDescent="0.25">
      <c r="A17" s="33"/>
    </row>
    <row r="18" spans="1:1" ht="13.25" customHeight="1" x14ac:dyDescent="0.25">
      <c r="A18" s="33"/>
    </row>
    <row r="19" spans="1:1" ht="13.25" customHeight="1" x14ac:dyDescent="0.25">
      <c r="A19" s="33"/>
    </row>
  </sheetData>
  <sheetProtection algorithmName="SHA-512" hashValue="K5+F0MpTc2DJ5kdRuC5UoJ3S+gekYqVy+szf+6WFyz2nv7h4mmiXBFEH+ISjEzfls21lt3rlzp2YiHyo0X9k2w==" saltValue="i7lUys/ZZH60CT+7FV18j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5">
      <c r="A2" s="3" t="s">
        <v>84</v>
      </c>
      <c r="B2" s="21">
        <f>'Entradas de población-año base'!C51</f>
        <v>2.9</v>
      </c>
      <c r="C2" s="21">
        <f>'Entradas de población-año base'!C52</f>
        <v>2.9</v>
      </c>
      <c r="D2" s="21">
        <f>'Entradas de población-año base'!C53</f>
        <v>2.9</v>
      </c>
      <c r="E2" s="21">
        <f>'Entradas de población-año base'!C54</f>
        <v>2.9</v>
      </c>
      <c r="F2" s="21">
        <f>'Entradas de población-año base'!C55</f>
        <v>2.9</v>
      </c>
    </row>
    <row r="3" spans="1:6" ht="15.75" customHeight="1" x14ac:dyDescent="0.25">
      <c r="A3" s="3" t="s">
        <v>6</v>
      </c>
      <c r="B3" s="21">
        <f>frac_mam_1month * 2.6</f>
        <v>0.173548232</v>
      </c>
      <c r="C3" s="21">
        <f>frac_mam_1_5months * 2.6</f>
        <v>0.173548232</v>
      </c>
      <c r="D3" s="21">
        <f>frac_mam_6_11months * 2.6</f>
        <v>6.4794191800000012E-2</v>
      </c>
      <c r="E3" s="21">
        <f>frac_mam_12_23months * 2.6</f>
        <v>2.4542515400000003E-2</v>
      </c>
      <c r="F3" s="21">
        <f>frac_mam_24_59months * 2.6</f>
        <v>1.7898596039999999E-2</v>
      </c>
    </row>
    <row r="4" spans="1:6" ht="15.75" customHeight="1" x14ac:dyDescent="0.25">
      <c r="A4" s="3" t="s">
        <v>207</v>
      </c>
      <c r="B4" s="21">
        <f>frac_sam_1month * 2.6</f>
        <v>5.6318347800000002E-2</v>
      </c>
      <c r="C4" s="21">
        <f>frac_sam_1_5months * 2.6</f>
        <v>5.6318347800000002E-2</v>
      </c>
      <c r="D4" s="21">
        <f>frac_sam_6_11months * 2.6</f>
        <v>0</v>
      </c>
      <c r="E4" s="21">
        <f>frac_sam_12_23months * 2.6</f>
        <v>2.418436098E-2</v>
      </c>
      <c r="F4" s="21">
        <f>frac_sam_24_59months * 2.6</f>
        <v>4.0075848799999998E-3</v>
      </c>
    </row>
  </sheetData>
  <sheetProtection algorithmName="SHA-512" hashValue="Y3l5/rtPNMj3kc4mm9N/zjqT+QwTcNN6dV18+rZaXjVqHTJSe+D2fcj7gUWK87VsaPoeVPSLxw49aGXaVFiKTA==" saltValue="NnLY+uf2gTOtr15JTow5d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">
      <c r="A2" s="4" t="s">
        <v>83</v>
      </c>
      <c r="B2" s="5" t="s">
        <v>167</v>
      </c>
      <c r="C2" s="60">
        <v>0</v>
      </c>
      <c r="D2" s="60">
        <f>food_insecure</f>
        <v>1E-3</v>
      </c>
      <c r="E2" s="60">
        <f>food_insecure</f>
        <v>1E-3</v>
      </c>
      <c r="F2" s="60">
        <f>food_insecure</f>
        <v>1E-3</v>
      </c>
      <c r="G2" s="60">
        <f>food_insecure</f>
        <v>1E-3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1E-3</v>
      </c>
      <c r="F5" s="60">
        <f>food_insecure</f>
        <v>1E-3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192</v>
      </c>
      <c r="C7" s="60">
        <f>diarrhoea_1mo*frac_diarrhea_severe</f>
        <v>5.9999999999999984E-2</v>
      </c>
      <c r="D7" s="60">
        <f>diarrhoea_1_5mo*frac_diarrhea_severe</f>
        <v>5.9999999999999984E-2</v>
      </c>
      <c r="E7" s="60">
        <f>diarrhoea_6_11mo*frac_diarrhea_severe</f>
        <v>5.9999999999999984E-2</v>
      </c>
      <c r="F7" s="60">
        <f>diarrhoea_12_23mo*frac_diarrhea_severe</f>
        <v>5.9999999999999984E-2</v>
      </c>
      <c r="G7" s="60">
        <f>diarrhoea_24_59mo*frac_diarrhea_severe</f>
        <v>5.9999999999999984E-2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193</v>
      </c>
      <c r="C8" s="60">
        <v>0</v>
      </c>
      <c r="D8" s="60">
        <v>0</v>
      </c>
      <c r="E8" s="60">
        <f>food_insecure</f>
        <v>1E-3</v>
      </c>
      <c r="F8" s="60">
        <f>food_insecure</f>
        <v>1E-3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204</v>
      </c>
      <c r="C9" s="60">
        <v>0</v>
      </c>
      <c r="D9" s="60">
        <v>0</v>
      </c>
      <c r="E9" s="60">
        <f>food_insecure</f>
        <v>1E-3</v>
      </c>
      <c r="F9" s="60">
        <f>food_insecure</f>
        <v>1E-3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164</v>
      </c>
      <c r="C10" s="60">
        <v>0</v>
      </c>
      <c r="D10" s="60">
        <f>IF(ISBLANK(comm_deliv), frac_children_health_facility,1)</f>
        <v>0.373</v>
      </c>
      <c r="E10" s="60">
        <f>IF(ISBLANK(comm_deliv), frac_children_health_facility,1)</f>
        <v>0.373</v>
      </c>
      <c r="F10" s="60">
        <f>IF(ISBLANK(comm_deliv), frac_children_health_facility,1)</f>
        <v>0.373</v>
      </c>
      <c r="G10" s="60">
        <f>IF(ISBLANK(comm_deliv), frac_children_health_facility,1)</f>
        <v>0.373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202</v>
      </c>
      <c r="C12" s="60">
        <f>diarrhoea_1mo*frac_diarrhea_severe</f>
        <v>5.9999999999999984E-2</v>
      </c>
      <c r="D12" s="60">
        <f>diarrhoea_1_5mo*frac_diarrhea_severe</f>
        <v>5.9999999999999984E-2</v>
      </c>
      <c r="E12" s="60">
        <f>diarrhoea_6_11mo*frac_diarrhea_severe</f>
        <v>5.9999999999999984E-2</v>
      </c>
      <c r="F12" s="60">
        <f>diarrhoea_12_23mo*frac_diarrhea_severe</f>
        <v>5.9999999999999984E-2</v>
      </c>
      <c r="G12" s="60">
        <f>diarrhoea_24_59mo*frac_diarrhea_severe</f>
        <v>5.9999999999999984E-2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1E-3</v>
      </c>
      <c r="I15" s="60">
        <f>food_insecure</f>
        <v>1E-3</v>
      </c>
      <c r="J15" s="60">
        <f>food_insecure</f>
        <v>1E-3</v>
      </c>
      <c r="K15" s="60">
        <f>food_insecure</f>
        <v>1E-3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0.88900000000000001</v>
      </c>
      <c r="I18" s="60">
        <f>frac_PW_health_facility</f>
        <v>0.88900000000000001</v>
      </c>
      <c r="J18" s="60">
        <f>frac_PW_health_facility</f>
        <v>0.88900000000000001</v>
      </c>
      <c r="K18" s="60">
        <f>frac_PW_health_facility</f>
        <v>0.88900000000000001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0.40300000000000002</v>
      </c>
      <c r="M24" s="60">
        <f>famplan_unmet_need</f>
        <v>0.40300000000000002</v>
      </c>
      <c r="N24" s="60">
        <f>famplan_unmet_need</f>
        <v>0.40300000000000002</v>
      </c>
      <c r="O24" s="60">
        <f>famplan_unmet_need</f>
        <v>0.40300000000000002</v>
      </c>
    </row>
    <row r="25" spans="1:15" ht="15.75" customHeight="1" x14ac:dyDescent="0.25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7.3620175530242901E-2</v>
      </c>
      <c r="M25" s="60">
        <f>(1-food_insecure)*(0.49)+food_insecure*(0.7)</f>
        <v>0.49020999999999998</v>
      </c>
      <c r="N25" s="60">
        <f>(1-food_insecure)*(0.49)+food_insecure*(0.7)</f>
        <v>0.49020999999999998</v>
      </c>
      <c r="O25" s="60">
        <f>(1-food_insecure)*(0.49)+food_insecure*(0.7)</f>
        <v>0.49020999999999998</v>
      </c>
    </row>
    <row r="26" spans="1:15" ht="15.75" customHeight="1" x14ac:dyDescent="0.25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3.155150379867553E-2</v>
      </c>
      <c r="M26" s="60">
        <f>(1-food_insecure)*(0.21)+food_insecure*(0.3)</f>
        <v>0.21009</v>
      </c>
      <c r="N26" s="60">
        <f>(1-food_insecure)*(0.21)+food_insecure*(0.3)</f>
        <v>0.21009</v>
      </c>
      <c r="O26" s="60">
        <f>(1-food_insecure)*(0.21)+food_insecure*(0.3)</f>
        <v>0.21009</v>
      </c>
    </row>
    <row r="27" spans="1:15" ht="15.75" customHeight="1" x14ac:dyDescent="0.25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4.5009213615417466E-2</v>
      </c>
      <c r="M27" s="60">
        <f>(1-food_insecure)*(0.3)</f>
        <v>0.29969999999999997</v>
      </c>
      <c r="N27" s="60">
        <f>(1-food_insecure)*(0.3)</f>
        <v>0.29969999999999997</v>
      </c>
      <c r="O27" s="60">
        <f>(1-food_insecure)*(0.3)</f>
        <v>0.29969999999999997</v>
      </c>
    </row>
    <row r="28" spans="1:15" ht="15.75" customHeight="1" x14ac:dyDescent="0.25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0.8498191070556641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VH+xn53HUhBrybd2oHGN3iUD7ArVWMiDxv9uNDV7Uq36B360wloKEADUVzOdNweFw8ldPobZdwbij6Qq5rzwfw==" saltValue="CTJVpdZEQlxhPu2eHDycGQ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183</v>
      </c>
    </row>
    <row r="2" spans="1:1" x14ac:dyDescent="0.25">
      <c r="A2" s="8" t="s">
        <v>213</v>
      </c>
    </row>
    <row r="3" spans="1:1" x14ac:dyDescent="0.25">
      <c r="A3" s="8" t="s">
        <v>212</v>
      </c>
    </row>
    <row r="4" spans="1:1" x14ac:dyDescent="0.25">
      <c r="A4" s="8" t="s">
        <v>214</v>
      </c>
    </row>
  </sheetData>
  <sheetProtection algorithmName="SHA-512" hashValue="aLM7hOF5e2sQmTkTTEorvL+r9Kk/bS5EON/L4AdiHfMnXejlIyaWj0tFdc7wh931QMBNmH65aEvzmbsYsE/8xw==" saltValue="cot45vg8remBUyng00tj1g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4" customHeight="1" x14ac:dyDescent="0.3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l4GAMG7nkrvOXnkBKJWCHZqy098jnwSRCVEMTz8cQomAMjoJWVAqC8L2+aAaYsjXBBWk/PNfS/OHdpqy/oofXQ==" saltValue="UXq7iGpY6APl20gdoCUOj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C12" sqref="C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M9ZFWhMboPKLw+WoYD8/prhNuOfgl8DqCTF9e9CAT3qcAT367gJldG9DyGmbW/Blj7DPmSNIn1EA2NwTEdIciQ==" saltValue="Pl8pAJmxXsvAXEhotJRDxQ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15" workbookViewId="0">
      <selection activeCell="E28" sqref="E28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ht="13.25" customHeight="1" x14ac:dyDescent="0.25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ht="13.25" customHeight="1" x14ac:dyDescent="0.25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ht="13.25" customHeight="1" x14ac:dyDescent="0.25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ht="13.25" customHeight="1" x14ac:dyDescent="0.25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ht="13.25" customHeight="1" x14ac:dyDescent="0.25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ht="13.25" customHeight="1" x14ac:dyDescent="0.25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ht="13.25" customHeight="1" x14ac:dyDescent="0.25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ht="13.25" customHeight="1" x14ac:dyDescent="0.25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ht="13.25" customHeight="1" x14ac:dyDescent="0.25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ht="13.25" customHeight="1" x14ac:dyDescent="0.25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ht="13.25" customHeight="1" x14ac:dyDescent="0.25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ht="13.25" customHeight="1" x14ac:dyDescent="0.25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ht="13.25" customHeight="1" x14ac:dyDescent="0.25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ht="13.25" customHeight="1" x14ac:dyDescent="0.25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ht="13.25" customHeight="1" x14ac:dyDescent="0.25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ht="13.25" customHeight="1" x14ac:dyDescent="0.25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ht="13.25" customHeight="1" x14ac:dyDescent="0.25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ht="13.25" customHeight="1" x14ac:dyDescent="0.25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ht="13.25" customHeight="1" x14ac:dyDescent="0.25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ht="13.25" customHeight="1" x14ac:dyDescent="0.25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ht="13.25" customHeight="1" x14ac:dyDescent="0.25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i+iF1AaVxY7K7NACnCrl4yqKcJ/PFtL8zP6t8umMYach1P1F6/5B7eV8n+ZLa+MZWj1o4g7MjKNGu1pt/3JAjQ==" saltValue="Dek7l0N8udXfDqh4Yw6esg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ht="13.25" customHeight="1" x14ac:dyDescent="0.25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ht="13.25" customHeight="1" x14ac:dyDescent="0.25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ht="13.25" customHeight="1" x14ac:dyDescent="0.25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ht="13.25" customHeight="1" x14ac:dyDescent="0.25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ht="13.25" customHeight="1" x14ac:dyDescent="0.25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ht="13.25" customHeight="1" x14ac:dyDescent="0.25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ht="13.25" customHeight="1" x14ac:dyDescent="0.25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ht="13.25" customHeight="1" x14ac:dyDescent="0.25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ht="13.25" customHeight="1" x14ac:dyDescent="0.25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ht="13.25" customHeight="1" x14ac:dyDescent="0.25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ht="13.25" customHeight="1" x14ac:dyDescent="0.25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ht="13.25" customHeight="1" x14ac:dyDescent="0.25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ht="13.25" customHeight="1" x14ac:dyDescent="0.25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tW9SaxMVVF2MLG7n5YKloHv0L7/aGDGcMVnjbagVQQBiL1j3N9X12t4nB3cGua/+rFioSf8TqXBGj/orrDhQCA==" saltValue="Zu8Zem6KG2qwyNpSOvzSYA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5">
      <c r="A2" s="5">
        <f>start_year</f>
        <v>2021</v>
      </c>
      <c r="B2" s="49">
        <v>1263888.0190000001</v>
      </c>
      <c r="C2" s="49">
        <v>3314000</v>
      </c>
      <c r="D2" s="49">
        <v>6508000</v>
      </c>
      <c r="E2" s="49">
        <v>496000</v>
      </c>
      <c r="F2" s="49">
        <v>366000</v>
      </c>
      <c r="G2" s="17">
        <f t="shared" ref="G2:G11" si="0">C2+D2+E2+F2</f>
        <v>10684000</v>
      </c>
      <c r="H2" s="17">
        <f t="shared" ref="H2:H11" si="1">(B2 + stillbirth*B2/(1000-stillbirth))/(1-abortion)</f>
        <v>1442629.8662873399</v>
      </c>
      <c r="I2" s="17">
        <f t="shared" ref="I2:I11" si="2">G2-H2</f>
        <v>9241370.1337126605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1253282.0828</v>
      </c>
      <c r="C3" s="50">
        <v>3290000</v>
      </c>
      <c r="D3" s="50">
        <v>6523000</v>
      </c>
      <c r="E3" s="50">
        <v>509000</v>
      </c>
      <c r="F3" s="50">
        <v>375000</v>
      </c>
      <c r="G3" s="17">
        <f t="shared" si="0"/>
        <v>10697000</v>
      </c>
      <c r="H3" s="17">
        <f t="shared" si="1"/>
        <v>1430524.0150631438</v>
      </c>
      <c r="I3" s="17">
        <f t="shared" si="2"/>
        <v>9266475.9849368557</v>
      </c>
    </row>
    <row r="4" spans="1:9" ht="15.75" customHeight="1" x14ac:dyDescent="0.25">
      <c r="A4" s="5">
        <f t="shared" si="3"/>
        <v>2023</v>
      </c>
      <c r="B4" s="49">
        <v>1240732.2312</v>
      </c>
      <c r="C4" s="50">
        <v>3261000</v>
      </c>
      <c r="D4" s="50">
        <v>6526000</v>
      </c>
      <c r="E4" s="50">
        <v>520000</v>
      </c>
      <c r="F4" s="50">
        <v>384000</v>
      </c>
      <c r="G4" s="17">
        <f t="shared" si="0"/>
        <v>10691000</v>
      </c>
      <c r="H4" s="17">
        <f t="shared" si="1"/>
        <v>1416199.3356109574</v>
      </c>
      <c r="I4" s="17">
        <f t="shared" si="2"/>
        <v>9274800.6643890422</v>
      </c>
    </row>
    <row r="5" spans="1:9" ht="15.75" customHeight="1" x14ac:dyDescent="0.25">
      <c r="A5" s="5">
        <f t="shared" si="3"/>
        <v>2024</v>
      </c>
      <c r="B5" s="49">
        <v>1227488.4288000001</v>
      </c>
      <c r="C5" s="50">
        <v>3235000</v>
      </c>
      <c r="D5" s="50">
        <v>6516000</v>
      </c>
      <c r="E5" s="50">
        <v>528000</v>
      </c>
      <c r="F5" s="50">
        <v>394000</v>
      </c>
      <c r="G5" s="17">
        <f t="shared" si="0"/>
        <v>10673000</v>
      </c>
      <c r="H5" s="17">
        <f t="shared" si="1"/>
        <v>1401082.5652972672</v>
      </c>
      <c r="I5" s="17">
        <f t="shared" si="2"/>
        <v>9271917.4347027335</v>
      </c>
    </row>
    <row r="6" spans="1:9" ht="15.75" customHeight="1" x14ac:dyDescent="0.25">
      <c r="A6" s="5">
        <f t="shared" si="3"/>
        <v>2025</v>
      </c>
      <c r="B6" s="49">
        <v>1214448.625</v>
      </c>
      <c r="C6" s="50">
        <v>3214000</v>
      </c>
      <c r="D6" s="50">
        <v>6497000</v>
      </c>
      <c r="E6" s="50">
        <v>530000</v>
      </c>
      <c r="F6" s="50">
        <v>405000</v>
      </c>
      <c r="G6" s="17">
        <f t="shared" si="0"/>
        <v>10646000</v>
      </c>
      <c r="H6" s="17">
        <f t="shared" si="1"/>
        <v>1386198.6435181119</v>
      </c>
      <c r="I6" s="17">
        <f t="shared" si="2"/>
        <v>9259801.3564818874</v>
      </c>
    </row>
    <row r="7" spans="1:9" ht="15.75" customHeight="1" x14ac:dyDescent="0.25">
      <c r="A7" s="5">
        <f t="shared" si="3"/>
        <v>2026</v>
      </c>
      <c r="B7" s="49">
        <v>1205093.5728</v>
      </c>
      <c r="C7" s="50">
        <v>3202000</v>
      </c>
      <c r="D7" s="50">
        <v>6473000</v>
      </c>
      <c r="E7" s="50">
        <v>527000</v>
      </c>
      <c r="F7" s="50">
        <v>417000</v>
      </c>
      <c r="G7" s="17">
        <f t="shared" si="0"/>
        <v>10619000</v>
      </c>
      <c r="H7" s="17">
        <f t="shared" si="1"/>
        <v>1375520.5790839896</v>
      </c>
      <c r="I7" s="17">
        <f t="shared" si="2"/>
        <v>9243479.4209160097</v>
      </c>
    </row>
    <row r="8" spans="1:9" ht="15.75" customHeight="1" x14ac:dyDescent="0.25">
      <c r="A8" s="5">
        <f t="shared" si="3"/>
        <v>2027</v>
      </c>
      <c r="B8" s="49">
        <v>1195992.3959999999</v>
      </c>
      <c r="C8" s="50">
        <v>3195000</v>
      </c>
      <c r="D8" s="50">
        <v>6441000</v>
      </c>
      <c r="E8" s="50">
        <v>521000</v>
      </c>
      <c r="F8" s="50">
        <v>429000</v>
      </c>
      <c r="G8" s="17">
        <f t="shared" si="0"/>
        <v>10586000</v>
      </c>
      <c r="H8" s="17">
        <f t="shared" si="1"/>
        <v>1365132.2936720988</v>
      </c>
      <c r="I8" s="17">
        <f t="shared" si="2"/>
        <v>9220867.7063279003</v>
      </c>
    </row>
    <row r="9" spans="1:9" ht="15.75" customHeight="1" x14ac:dyDescent="0.25">
      <c r="A9" s="5">
        <f t="shared" si="3"/>
        <v>2028</v>
      </c>
      <c r="B9" s="49">
        <v>1187089.1103999999</v>
      </c>
      <c r="C9" s="50">
        <v>3189000</v>
      </c>
      <c r="D9" s="50">
        <v>6404000</v>
      </c>
      <c r="E9" s="50">
        <v>511000</v>
      </c>
      <c r="F9" s="50">
        <v>443000</v>
      </c>
      <c r="G9" s="17">
        <f t="shared" si="0"/>
        <v>10547000</v>
      </c>
      <c r="H9" s="17">
        <f t="shared" si="1"/>
        <v>1354969.8856726871</v>
      </c>
      <c r="I9" s="17">
        <f t="shared" si="2"/>
        <v>9192030.1143273134</v>
      </c>
    </row>
    <row r="10" spans="1:9" ht="15.75" customHeight="1" x14ac:dyDescent="0.25">
      <c r="A10" s="5">
        <f t="shared" si="3"/>
        <v>2029</v>
      </c>
      <c r="B10" s="49">
        <v>1178209.2420000001</v>
      </c>
      <c r="C10" s="50">
        <v>3179000</v>
      </c>
      <c r="D10" s="50">
        <v>6368000</v>
      </c>
      <c r="E10" s="50">
        <v>501000</v>
      </c>
      <c r="F10" s="50">
        <v>456000</v>
      </c>
      <c r="G10" s="17">
        <f t="shared" si="0"/>
        <v>10504000</v>
      </c>
      <c r="H10" s="17">
        <f t="shared" si="1"/>
        <v>1344834.2065856454</v>
      </c>
      <c r="I10" s="17">
        <f t="shared" si="2"/>
        <v>9159165.7934143543</v>
      </c>
    </row>
    <row r="11" spans="1:9" ht="15.75" customHeight="1" x14ac:dyDescent="0.25">
      <c r="A11" s="5">
        <f t="shared" si="3"/>
        <v>2030</v>
      </c>
      <c r="B11" s="49">
        <v>1169226.4080000001</v>
      </c>
      <c r="C11" s="50">
        <v>3163000</v>
      </c>
      <c r="D11" s="50">
        <v>6335000</v>
      </c>
      <c r="E11" s="50">
        <v>491000</v>
      </c>
      <c r="F11" s="50">
        <v>469000</v>
      </c>
      <c r="G11" s="17">
        <f t="shared" si="0"/>
        <v>10458000</v>
      </c>
      <c r="H11" s="17">
        <f t="shared" si="1"/>
        <v>1334581.0002750463</v>
      </c>
      <c r="I11" s="17">
        <f t="shared" si="2"/>
        <v>9123418.9997249544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X5bAU/uvUkLRwHxBdDow5JKeT7NAVoE0z+bXPBm+q8R8HomCWUrS0lyZC1eeffLCsL4NJIh62uiZY4pb+VOv/A==" saltValue="BaMuQ3EICLZZBOF1ckj2fA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13" zoomScale="85" zoomScaleNormal="85" workbookViewId="0">
      <selection activeCell="E28" sqref="E28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ht="13" customHeight="1" x14ac:dyDescent="0.3">
      <c r="A2" s="4" t="s">
        <v>236</v>
      </c>
      <c r="B2" s="103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ht="13.25" customHeight="1" x14ac:dyDescent="0.25">
      <c r="B3" s="104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ht="13.25" customHeight="1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ht="13.25" customHeight="1" x14ac:dyDescent="0.25">
      <c r="B5" s="103" t="s">
        <v>78</v>
      </c>
      <c r="C5" s="8" t="s">
        <v>150</v>
      </c>
      <c r="D5" s="88">
        <f>IFERROR((MIN(1,1.56*'Distribución de lactancia'!$C$2)/(1-MIN(1,1.56*'Distribución de lactancia'!$C$2))) /
('Distribución de lactancia'!$C$2/(1-'Distribución de lactancia'!$C$2)), 1.56)</f>
        <v>8.7152924812270509</v>
      </c>
      <c r="E5" s="88">
        <v>1</v>
      </c>
      <c r="F5" s="88">
        <v>1</v>
      </c>
      <c r="G5" s="88">
        <v>1</v>
      </c>
      <c r="H5" s="88">
        <v>1</v>
      </c>
    </row>
    <row r="6" spans="1:10" ht="13.25" customHeight="1" x14ac:dyDescent="0.25">
      <c r="B6" s="104"/>
      <c r="C6" s="8" t="s">
        <v>149</v>
      </c>
      <c r="D6" s="88">
        <f>IFERROR((MIN(1,1.56*'Distribución de lactancia'!$C$2)/(1-MIN(1,1.56*'Distribución de lactancia'!$C$2))) /
('Distribución de lactancia'!$C$2/(1-'Distribución de lactancia'!$C$2)), 1.56)</f>
        <v>8.7152924812270509</v>
      </c>
      <c r="E6" s="88">
        <v>1</v>
      </c>
      <c r="F6" s="88">
        <v>1</v>
      </c>
      <c r="G6" s="88">
        <v>1</v>
      </c>
      <c r="H6" s="88">
        <v>1</v>
      </c>
    </row>
    <row r="7" spans="1:10" ht="13.25" customHeight="1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ht="13.25" customHeight="1" x14ac:dyDescent="0.25">
      <c r="B8" s="103" t="s">
        <v>74</v>
      </c>
      <c r="C8" s="8" t="s">
        <v>150</v>
      </c>
      <c r="D8" s="88">
        <v>1</v>
      </c>
      <c r="E8" s="88">
        <f>IFERROR((MIN(1,1.56*'Distribución de lactancia'!$D$2)/(1-MIN(1,1.56*'Distribución de lactancia'!$D$2))) /
('Distribución de lactancia'!$D$2/(1-'Distribución de lactancia'!$D$2)), 1.56)</f>
        <v>2.0317556784276669</v>
      </c>
      <c r="F8" s="88">
        <v>1</v>
      </c>
      <c r="G8" s="88">
        <v>1</v>
      </c>
      <c r="H8" s="88">
        <v>1</v>
      </c>
    </row>
    <row r="9" spans="1:10" ht="13.25" customHeight="1" x14ac:dyDescent="0.25">
      <c r="B9" s="104"/>
      <c r="C9" s="8" t="s">
        <v>149</v>
      </c>
      <c r="D9" s="88">
        <v>1</v>
      </c>
      <c r="E9" s="88">
        <f>IFERROR((MIN(1,1.56*'Distribución de lactancia'!$D$2)/(1-MIN(1,1.56*'Distribución de lactancia'!$D$2))) /
('Distribución de lactancia'!$D$2/(1-'Distribución de lactancia'!$D$2)), 1.56)</f>
        <v>2.0317556784276669</v>
      </c>
      <c r="F9" s="88">
        <v>1</v>
      </c>
      <c r="G9" s="88">
        <v>1</v>
      </c>
      <c r="H9" s="88">
        <v>1</v>
      </c>
    </row>
    <row r="10" spans="1:10" ht="13.25" customHeight="1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ht="13.25" customHeight="1" x14ac:dyDescent="0.25">
      <c r="B11" s="103" t="s">
        <v>77</v>
      </c>
      <c r="C11" s="8" t="s">
        <v>150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ht="13.25" customHeight="1" x14ac:dyDescent="0.25">
      <c r="B12" s="104"/>
      <c r="C12" s="8" t="s">
        <v>149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ht="13.25" customHeight="1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ht="13.25" customHeight="1" x14ac:dyDescent="0.25">
      <c r="B14" s="103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ht="13.25" customHeight="1" x14ac:dyDescent="0.25">
      <c r="B15" s="104"/>
      <c r="C15" s="8" t="s">
        <v>149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ht="13.25" customHeight="1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ht="13.25" customHeight="1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242</v>
      </c>
      <c r="B19" s="103" t="s">
        <v>104</v>
      </c>
      <c r="C19" s="8" t="s">
        <v>150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ht="13.25" customHeight="1" x14ac:dyDescent="0.25">
      <c r="B20" s="104"/>
      <c r="C20" s="8" t="s">
        <v>149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ht="13.25" customHeight="1" x14ac:dyDescent="0.25">
      <c r="B21" s="104"/>
      <c r="C21" s="8" t="s">
        <v>155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ht="13.25" customHeight="1" x14ac:dyDescent="0.25">
      <c r="B22" s="103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ht="13.25" customHeight="1" x14ac:dyDescent="0.25">
      <c r="B23" s="104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ht="13.25" customHeight="1" x14ac:dyDescent="0.25">
      <c r="B24" s="104"/>
      <c r="C24" s="8" t="s">
        <v>155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ht="13.25" customHeight="1" x14ac:dyDescent="0.25">
      <c r="B25" s="103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ht="13.25" customHeight="1" x14ac:dyDescent="0.25">
      <c r="B26" s="104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77</v>
      </c>
      <c r="C28" s="8" t="s">
        <v>150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149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149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148</v>
      </c>
      <c r="C34" s="8" t="s">
        <v>155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239</v>
      </c>
      <c r="B36" s="103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77</v>
      </c>
      <c r="C45" s="8" t="s">
        <v>150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149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149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148</v>
      </c>
      <c r="C51" s="8" t="s">
        <v>155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ht="13" customHeight="1" x14ac:dyDescent="0.3">
      <c r="A55" s="4" t="s">
        <v>237</v>
      </c>
      <c r="B55" s="103" t="s">
        <v>104</v>
      </c>
      <c r="C55" s="8" t="s">
        <v>150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149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78</v>
      </c>
      <c r="C58" s="8" t="s">
        <v>150</v>
      </c>
      <c r="D58" s="88">
        <f>IFERROR((MIN(1,1.37*'Distribución de lactancia'!$C$2)/(1-MIN(1,1.37*'Distribución de lactancia'!$C$2))) /
('Distribución de lactancia'!$C$2/(1-'Distribución de lactancia'!$C$2)), 1.37)</f>
        <v>2.9942034434611555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149</v>
      </c>
      <c r="D59" s="88">
        <f>IFERROR((MIN(1,1.37*'Distribución de lactancia'!$C$2)/(1-MIN(1,1.37*'Distribución de lactancia'!$C$2))) /
('Distribución de lactancia'!$C$2/(1-'Distribución de lactancia'!$C$2)), 1.37)</f>
        <v>2.9942034434611555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74</v>
      </c>
      <c r="C61" s="8" t="s">
        <v>150</v>
      </c>
      <c r="D61" s="88">
        <f t="shared" si="2"/>
        <v>1</v>
      </c>
      <c r="E61" s="88">
        <f>IFERROR((MIN(1,1.37*'Distribución de lactancia'!$D$2)/(1-MIN(1,1.37*'Distribución de lactancia'!$D$2))) /
('Distribución de lactancia'!$D$2/(1-'Distribución de lactancia'!$D$2)), 1.37)</f>
        <v>1.6182606074299852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149</v>
      </c>
      <c r="D62" s="88">
        <f t="shared" si="2"/>
        <v>1</v>
      </c>
      <c r="E62" s="88">
        <f>IFERROR((MIN(1,1.37*'Distribución de lactancia'!$D$2)/(1-MIN(1,1.37*'Distribución de lactancia'!$D$2))) /
('Distribución de lactancia'!$D$2/(1-'Distribución de lactancia'!$D$2)), 1.37)</f>
        <v>1.6182606074299852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77</v>
      </c>
      <c r="C64" s="8" t="s">
        <v>150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149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75</v>
      </c>
      <c r="C67" s="8" t="s">
        <v>150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149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148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243</v>
      </c>
      <c r="B72" s="103" t="s">
        <v>104</v>
      </c>
      <c r="C72" s="8" t="s">
        <v>150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149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78</v>
      </c>
      <c r="C75" s="8" t="s">
        <v>150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149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74</v>
      </c>
      <c r="C78" s="8" t="s">
        <v>150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149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77</v>
      </c>
      <c r="C81" s="8" t="s">
        <v>150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149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75</v>
      </c>
      <c r="C84" s="8" t="s">
        <v>150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149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148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240</v>
      </c>
      <c r="B89" s="103" t="s">
        <v>104</v>
      </c>
      <c r="C89" s="8" t="s">
        <v>150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149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78</v>
      </c>
      <c r="C92" s="8" t="s">
        <v>150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149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74</v>
      </c>
      <c r="C95" s="8" t="s">
        <v>150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149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77</v>
      </c>
      <c r="C98" s="8" t="s">
        <v>150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149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75</v>
      </c>
      <c r="C101" s="8" t="s">
        <v>150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149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148</v>
      </c>
      <c r="C104" s="8" t="s">
        <v>155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ht="13" customHeight="1" x14ac:dyDescent="0.3">
      <c r="A108" s="4" t="s">
        <v>238</v>
      </c>
      <c r="B108" s="103" t="s">
        <v>104</v>
      </c>
      <c r="C108" s="8" t="s">
        <v>150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149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78</v>
      </c>
      <c r="C111" s="8" t="s">
        <v>150</v>
      </c>
      <c r="D111" s="88">
        <f>IFERROR((MIN(1,1.77*'Distribución de lactancia'!$C$2)/(1-MIN(1,1.77*'Distribución de lactancia'!$C$2))) /
('Distribución de lactancia'!$C$2/(1-'Distribución de lactancia'!$C$2)), 1.77)</f>
        <v>1.77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149</v>
      </c>
      <c r="D112" s="88">
        <f>IFERROR((MIN(1,1.77*'Distribución de lactancia'!$C$2)/(1-MIN(1,1.77*'Distribución de lactancia'!$C$2))) /
('Distribución de lactancia'!$C$2/(1-'Distribución de lactancia'!$C$2)), 1.77)</f>
        <v>1.77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74</v>
      </c>
      <c r="C114" s="8" t="s">
        <v>150</v>
      </c>
      <c r="D114" s="88">
        <f t="shared" si="12"/>
        <v>1</v>
      </c>
      <c r="E114" s="88">
        <f>IFERROR((MIN(1,1.77*'Distribución de lactancia'!$D$2)/(1-MIN(1,1.77*'Distribución de lactancia'!$D$2))) /
('Distribución de lactancia'!$D$2/(1-'Distribución de lactancia'!$D$2)), 1.77)</f>
        <v>2.6001224338875488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149</v>
      </c>
      <c r="D115" s="88">
        <f t="shared" si="12"/>
        <v>1</v>
      </c>
      <c r="E115" s="88">
        <f>IFERROR((MIN(1,1.77*'Distribución de lactancia'!$D$2)/(1-MIN(1,1.77*'Distribución de lactancia'!$D$2))) /
('Distribución de lactancia'!$D$2/(1-'Distribución de lactancia'!$D$2)), 1.77)</f>
        <v>2.6001224338875488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77</v>
      </c>
      <c r="C117" s="8" t="s">
        <v>150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149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75</v>
      </c>
      <c r="C120" s="8" t="s">
        <v>150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149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148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244</v>
      </c>
      <c r="B125" s="103" t="s">
        <v>104</v>
      </c>
      <c r="C125" s="8" t="s">
        <v>150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149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78</v>
      </c>
      <c r="C128" s="8" t="s">
        <v>150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149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74</v>
      </c>
      <c r="C131" s="8" t="s">
        <v>150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149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77</v>
      </c>
      <c r="C134" s="8" t="s">
        <v>150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149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75</v>
      </c>
      <c r="C137" s="8" t="s">
        <v>150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149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148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241</v>
      </c>
      <c r="B142" s="103" t="s">
        <v>104</v>
      </c>
      <c r="C142" s="8" t="s">
        <v>150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149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78</v>
      </c>
      <c r="C145" s="8" t="s">
        <v>150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149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74</v>
      </c>
      <c r="C148" s="8" t="s">
        <v>150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149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77</v>
      </c>
      <c r="C151" s="8" t="s">
        <v>150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149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75</v>
      </c>
      <c r="C154" s="8" t="s">
        <v>150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149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148</v>
      </c>
      <c r="C157" s="8" t="s">
        <v>155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5sB+Nlv64RFuTMuSMY1I9xcmADM/R/a/HAunBhfT4BNP+Nb2Zx+WIy80rDsJkrwPZLlRNZ/DvOhzufqvbwoqwA==" saltValue="BqHCynVv6bQ79Axn0TP2Z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31" sqref="C31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248</v>
      </c>
    </row>
    <row r="2" spans="1:6" ht="15.75" customHeight="1" x14ac:dyDescent="0.3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3">
      <c r="A3" s="4" t="s">
        <v>255</v>
      </c>
      <c r="B3" s="14"/>
      <c r="C3" s="71"/>
      <c r="D3" s="72"/>
      <c r="E3" s="72"/>
      <c r="F3" s="72"/>
    </row>
    <row r="4" spans="1:6" ht="15.75" customHeight="1" x14ac:dyDescent="0.25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261</v>
      </c>
      <c r="C11" s="74"/>
      <c r="D11" s="75"/>
      <c r="E11" s="75"/>
      <c r="F11" s="75"/>
    </row>
    <row r="12" spans="1:6" ht="15.75" customHeight="1" x14ac:dyDescent="0.3">
      <c r="A12" s="4" t="s">
        <v>249</v>
      </c>
      <c r="C12" s="73"/>
      <c r="D12" s="64"/>
      <c r="E12" s="64"/>
      <c r="F12" s="64"/>
    </row>
    <row r="13" spans="1:6" ht="15.75" customHeight="1" x14ac:dyDescent="0.25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5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97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95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91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248</v>
      </c>
    </row>
    <row r="29" spans="1:6" ht="15.75" customHeight="1" x14ac:dyDescent="0.3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3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5">
      <c r="B31" s="5" t="s">
        <v>27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63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10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11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253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3">
      <c r="A39" s="4" t="s">
        <v>250</v>
      </c>
      <c r="C39" s="73"/>
      <c r="D39" s="64"/>
      <c r="E39" s="64"/>
      <c r="F39" s="64"/>
    </row>
    <row r="40" spans="1:6" ht="15.75" customHeight="1" x14ac:dyDescent="0.25">
      <c r="B40" s="11" t="s">
        <v>265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246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262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5">
      <c r="B45" s="5" t="s">
        <v>93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97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95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91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96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98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92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94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248</v>
      </c>
    </row>
    <row r="56" spans="1:6" ht="15.75" customHeight="1" x14ac:dyDescent="0.3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63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10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11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254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3">
      <c r="A66" s="4" t="s">
        <v>251</v>
      </c>
      <c r="C66" s="73"/>
      <c r="D66" s="64"/>
      <c r="E66" s="64"/>
      <c r="F66" s="64"/>
    </row>
    <row r="67" spans="1:6" ht="15.75" customHeight="1" x14ac:dyDescent="0.25">
      <c r="B67" s="11" t="s">
        <v>266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247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263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5">
      <c r="B72" s="5" t="s">
        <v>93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97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95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91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96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98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92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94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ezZVh8FaJf/xRxQ/I7MhBTsmBvzXciRU797PDt+mjgJ01e/lyClSg3lpPPt4dQtYJeKLj9lyFWLaOd+6xmbf0Q==" saltValue="CiKnFQvJh6xlunmneodNv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D30" sqref="D30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278</v>
      </c>
    </row>
    <row r="2" spans="1:16" ht="13" customHeight="1" x14ac:dyDescent="0.3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279</v>
      </c>
    </row>
    <row r="29" spans="1:16" ht="13" customHeight="1" x14ac:dyDescent="0.3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276</v>
      </c>
    </row>
    <row r="56" spans="1:16" ht="26" customHeight="1" x14ac:dyDescent="0.3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277</v>
      </c>
    </row>
    <row r="65" spans="1:16" ht="26" customHeight="1" x14ac:dyDescent="0.3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93</v>
      </c>
      <c r="C66" s="3" t="s">
        <v>124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97</v>
      </c>
      <c r="C70" s="3" t="s">
        <v>124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95</v>
      </c>
      <c r="C74" s="3" t="s">
        <v>124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ht="13" customHeight="1" x14ac:dyDescent="0.3">
      <c r="A113" s="4"/>
      <c r="B113" s="8" t="s">
        <v>84</v>
      </c>
      <c r="C113" s="3" t="s">
        <v>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273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274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272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102</v>
      </c>
      <c r="C117" s="3" t="s">
        <v>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273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274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272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273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274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272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3</v>
      </c>
      <c r="C125" s="3" t="s">
        <v>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273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274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272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2</v>
      </c>
      <c r="C129" s="3" t="s">
        <v>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273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274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272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99</v>
      </c>
      <c r="C133" s="3" t="s">
        <v>7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273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274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272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ht="13" customHeight="1" x14ac:dyDescent="0.3">
      <c r="A140" s="4"/>
      <c r="B140" s="8" t="s">
        <v>84</v>
      </c>
      <c r="C140" s="3" t="s">
        <v>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273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6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207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102</v>
      </c>
      <c r="C144" s="3" t="s">
        <v>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273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6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207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273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6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207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3</v>
      </c>
      <c r="C152" s="3" t="s">
        <v>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273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6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207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2</v>
      </c>
      <c r="C156" s="3" t="s">
        <v>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273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6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207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99</v>
      </c>
      <c r="C160" s="3" t="s">
        <v>7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273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6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207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ht="13" customHeight="1" x14ac:dyDescent="0.3">
      <c r="A167" s="4"/>
      <c r="B167" s="8" t="s">
        <v>81</v>
      </c>
      <c r="C167" s="3" t="s">
        <v>275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268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89</v>
      </c>
      <c r="C169" s="3" t="s">
        <v>275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268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275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268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ht="13" customHeight="1" x14ac:dyDescent="0.3">
      <c r="A176" s="82"/>
      <c r="B176" s="8" t="s">
        <v>93</v>
      </c>
      <c r="C176" s="3" t="s">
        <v>124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127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126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125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97</v>
      </c>
      <c r="C180" s="3" t="s">
        <v>124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127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126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125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95</v>
      </c>
      <c r="C184" s="3" t="s">
        <v>124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127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126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125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96</v>
      </c>
      <c r="C188" s="3" t="s">
        <v>124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127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126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125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84</v>
      </c>
      <c r="C192" s="3" t="s">
        <v>124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127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126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125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102</v>
      </c>
      <c r="C196" s="3" t="s">
        <v>124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127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126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125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124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127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126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125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2</v>
      </c>
      <c r="C204" s="3" t="s">
        <v>124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127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126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125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101</v>
      </c>
      <c r="C208" s="3" t="s">
        <v>124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127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126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125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ht="13" customHeight="1" x14ac:dyDescent="0.3">
      <c r="A215" s="4"/>
      <c r="C215" s="3" t="s">
        <v>124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127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126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125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245</v>
      </c>
      <c r="H220" s="92"/>
    </row>
    <row r="221" spans="1:9" ht="13" customHeight="1" x14ac:dyDescent="0.3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ht="13" customHeight="1" x14ac:dyDescent="0.3">
      <c r="A223" s="4"/>
      <c r="B223" s="8" t="s">
        <v>84</v>
      </c>
      <c r="C223" s="3" t="s">
        <v>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273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274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272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102</v>
      </c>
      <c r="C227" s="3" t="s">
        <v>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273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274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272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273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274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272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3</v>
      </c>
      <c r="C235" s="3" t="s">
        <v>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273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274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272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2</v>
      </c>
      <c r="C239" s="3" t="s">
        <v>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273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274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272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99</v>
      </c>
      <c r="C243" s="3" t="s">
        <v>7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273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274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272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ht="13" customHeight="1" x14ac:dyDescent="0.3">
      <c r="A250" s="4"/>
      <c r="B250" s="8" t="s">
        <v>84</v>
      </c>
      <c r="C250" s="3" t="s">
        <v>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273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6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207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102</v>
      </c>
      <c r="C254" s="3" t="s">
        <v>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273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6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207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273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6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207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3</v>
      </c>
      <c r="C262" s="3" t="s">
        <v>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273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6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207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2</v>
      </c>
      <c r="C266" s="3" t="s">
        <v>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273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6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207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99</v>
      </c>
      <c r="C270" s="3" t="s">
        <v>7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273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6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207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ht="13" customHeight="1" x14ac:dyDescent="0.3">
      <c r="A277" s="4"/>
      <c r="B277" s="8" t="s">
        <v>81</v>
      </c>
      <c r="C277" s="3" t="s">
        <v>275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268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89</v>
      </c>
      <c r="C279" s="3" t="s">
        <v>275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268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275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268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ht="13" customHeight="1" x14ac:dyDescent="0.3">
      <c r="A286" s="82"/>
      <c r="B286" s="8" t="s">
        <v>93</v>
      </c>
      <c r="C286" s="3" t="s">
        <v>124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127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126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125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97</v>
      </c>
      <c r="C290" s="3" t="s">
        <v>124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127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126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125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95</v>
      </c>
      <c r="C294" s="3" t="s">
        <v>124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127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126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125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96</v>
      </c>
      <c r="C298" s="3" t="s">
        <v>124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127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126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125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84</v>
      </c>
      <c r="C302" s="3" t="s">
        <v>124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127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126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125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102</v>
      </c>
      <c r="C306" s="3" t="s">
        <v>124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127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126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125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124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127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126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125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2</v>
      </c>
      <c r="C314" s="3" t="s">
        <v>124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127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126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125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101</v>
      </c>
      <c r="C318" s="3" t="s">
        <v>124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127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126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125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ht="13" customHeight="1" x14ac:dyDescent="0.3">
      <c r="A325" s="4"/>
      <c r="C325" s="3" t="s">
        <v>124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127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126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125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vxWyrrayiU5vbj7OI0rAS/LZ5QLmjunLMiR4ATt0oG9Jp7u9pTofq++y1p4xYGWesTct7NElZoGbQ3kWsVBMrA==" saltValue="3veuA2tTgi9Y1rxTLlBxS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C29" sqref="C29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313</v>
      </c>
    </row>
    <row r="2" spans="1:7" ht="14.25" customHeight="1" x14ac:dyDescent="0.3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5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283</v>
      </c>
    </row>
    <row r="6" spans="1:7" ht="14.25" customHeight="1" x14ac:dyDescent="0.25">
      <c r="B6" s="5" t="s">
        <v>193</v>
      </c>
      <c r="C6" s="90">
        <v>1</v>
      </c>
      <c r="D6" s="90">
        <v>1</v>
      </c>
      <c r="E6" s="90">
        <f>IF(ISBLANK('Distribución estado nutricional'!$E$4),0.64, (0.64*SUM('Distribución estado nutricional'!$E$4:$E$5)/(1-0.64*SUM('Distribución estado nutricional'!$E$4:$E$5)))
/ (SUM('Distribución estado nutricional'!$E$4:$E$5)/(1-SUM('Distribución estado nutricional'!$E$4:$E$5))))</f>
        <v>0.62755755161636695</v>
      </c>
      <c r="F6" s="90">
        <f>IF(ISBLANK('Distribución estado nutricional'!$F$4),0.64, (0.64*SUM('Distribución estado nutricional'!$F$4:$F$5)/(1-0.64*SUM('Distribución estado nutricional'!$F$4:$F$5)))/ (SUM('Distribución estado nutricional'!$F$4:$F$5)/(1-SUM('Distribución estado nutricional'!$F$4:$F$5))))</f>
        <v>0.61586920800114087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0.87422232741487871</v>
      </c>
      <c r="F7" s="90">
        <f>IF(ISBLANK('Distribución estado nutricional'!$F$4),0.88, (0.88*SUM('Distribución estado nutricional'!$F$4:$F$5)/(1-0.88*SUM('Distribución estado nutricional'!$F$4:$F$5)))/ (SUM('Distribución estado nutricional'!$F$4:$F$5)/(1-SUM('Distribución estado nutricional'!$F$4:$F$5))))</f>
        <v>0.86865487998886581</v>
      </c>
      <c r="G7" s="90">
        <v>1</v>
      </c>
    </row>
    <row r="8" spans="1:7" ht="14.25" customHeight="1" x14ac:dyDescent="0.25">
      <c r="B8" s="5" t="s">
        <v>204</v>
      </c>
      <c r="C8" s="90">
        <v>1</v>
      </c>
      <c r="D8" s="90">
        <v>1</v>
      </c>
      <c r="E8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0.87422232741487871</v>
      </c>
      <c r="F8" s="90">
        <f>IF(ISBLANK('Distribución estado nutricional'!$F$4),0.88, (0.88*SUM('Distribución estado nutricional'!$F$4:$F$5)/(1-0.88*SUM('Distribución estado nutricional'!$F$4:$F$5)))/ (SUM('Distribución estado nutricional'!$F$4:$F$5)/(1-SUM('Distribución estado nutricional'!$F$4:$F$5))))</f>
        <v>0.86865487998886581</v>
      </c>
      <c r="G8" s="90">
        <v>1</v>
      </c>
    </row>
    <row r="9" spans="1:7" ht="14.25" customHeight="1" x14ac:dyDescent="0.25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307</v>
      </c>
    </row>
    <row r="12" spans="1:7" ht="14.25" customHeight="1" x14ac:dyDescent="0.3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314</v>
      </c>
    </row>
    <row r="15" spans="1:7" ht="14.25" customHeight="1" x14ac:dyDescent="0.3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310</v>
      </c>
    </row>
    <row r="20" spans="1:7" s="14" customFormat="1" ht="14.25" customHeight="1" x14ac:dyDescent="0.3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5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313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5">
      <c r="B26" s="11" t="s">
        <v>301</v>
      </c>
      <c r="C26" s="90" t="s">
        <v>8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287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284</v>
      </c>
    </row>
    <row r="29" spans="1:7" x14ac:dyDescent="0.25">
      <c r="B29" s="5" t="s">
        <v>315</v>
      </c>
      <c r="C29" s="90">
        <f t="shared" ref="C29:D32" si="0">IF(C6=1,1,C6*0.9)</f>
        <v>1</v>
      </c>
      <c r="D29" s="90">
        <f t="shared" si="0"/>
        <v>1</v>
      </c>
      <c r="E29" s="90">
        <f>IF(ISBLANK('Distribución estado nutricional'!E$4),0.44, (0.44*SUM('Distribución estado nutricional'!E$4:E$5)/(1-0.44*SUM('Distribución estado nutricional'!E$4:E$5)))/ (SUM('Distribución estado nutricional'!E$4:E$5)/(1-SUM('Distribución estado nutricional'!E$4:E$5))))</f>
        <v>0.42683567708312736</v>
      </c>
      <c r="F29" s="90">
        <f>IF(ISBLANK('Distribución estado nutricional'!F$4),0.44, (0.44*SUM('Distribución estado nutricional'!F$4:F$5)/(1-0.44*SUM('Distribución estado nutricional'!F$4:F$5)))/ (SUM('Distribución estado nutricional'!F$4:F$5)/(1-SUM('Distribución estado nutricional'!F$4:F$5))))</f>
        <v>0.41472293392466225</v>
      </c>
      <c r="G29" s="90">
        <f>IF(G6=1,1,G6*0.9)</f>
        <v>1</v>
      </c>
    </row>
    <row r="30" spans="1:7" x14ac:dyDescent="0.25">
      <c r="B30" s="5" t="s">
        <v>305</v>
      </c>
      <c r="C30" s="90">
        <f t="shared" si="0"/>
        <v>1</v>
      </c>
      <c r="D30" s="90">
        <f t="shared" si="0"/>
        <v>1</v>
      </c>
      <c r="E30" s="90">
        <f>IF(ISBLANK('Distribución estado nutricional'!E$4),0.85, (0.85*SUM('Distribución estado nutricional'!E$4:E$5)/(1-0.85*SUM('Distribución estado nutricional'!E$4:E$5)))/ (SUM('Distribución estado nutricional'!E$4:E$5)/(1-SUM('Distribución estado nutricional'!E$4:E$5))))</f>
        <v>0.84303554824863325</v>
      </c>
      <c r="F30" s="90">
        <f>IF(ISBLANK('Distribución estado nutricional'!F$4),0.85, (0.85*SUM('Distribución estado nutricional'!F$4:F$5)/(1-0.85*SUM('Distribución estado nutricional'!F$4:F$5)))/ (SUM('Distribución estado nutricional'!F$4:F$5)/(1-SUM('Distribución estado nutricional'!F$4:F$5))))</f>
        <v>0.83634606406094669</v>
      </c>
      <c r="G30" s="90">
        <f>IF(G7=1,1,G7*0.9)</f>
        <v>1</v>
      </c>
    </row>
    <row r="31" spans="1:7" x14ac:dyDescent="0.25">
      <c r="B31" s="5" t="s">
        <v>319</v>
      </c>
      <c r="C31" s="90">
        <f t="shared" si="0"/>
        <v>1</v>
      </c>
      <c r="D31" s="90">
        <f t="shared" si="0"/>
        <v>1</v>
      </c>
      <c r="E31" s="90">
        <f>IF(ISBLANK('Distribución estado nutricional'!E$4),0.85, (0.85*SUM('Distribución estado nutricional'!E$4:E$5)/(1-0.85*SUM('Distribución estado nutricional'!E$4:E$5)))/ (SUM('Distribución estado nutricional'!E$4:E$5)/(1-SUM('Distribución estado nutricional'!E$4:E$5))))</f>
        <v>0.84303554824863325</v>
      </c>
      <c r="F31" s="90">
        <f>IF(ISBLANK('Distribución estado nutricional'!F$4),0.85, (0.85*SUM('Distribución estado nutricional'!F$4:F$5)/(1-0.85*SUM('Distribución estado nutricional'!F$4:F$5)))/ (SUM('Distribución estado nutricional'!F$4:F$5)/(1-SUM('Distribución estado nutricional'!F$4:F$5))))</f>
        <v>0.83634606406094669</v>
      </c>
      <c r="G31" s="90">
        <f>IF(G8=1,1,G8*0.9)</f>
        <v>1</v>
      </c>
    </row>
    <row r="32" spans="1:7" x14ac:dyDescent="0.25">
      <c r="B32" s="5" t="s">
        <v>317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308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314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282</v>
      </c>
      <c r="B38" s="5" t="s">
        <v>295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105</v>
      </c>
      <c r="B40" s="11" t="s">
        <v>298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311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5">
      <c r="B44" s="11" t="s">
        <v>289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245</v>
      </c>
    </row>
    <row r="47" spans="1:7" ht="13" customHeight="1" x14ac:dyDescent="0.3">
      <c r="A47" s="67" t="s">
        <v>313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5">
      <c r="B49" s="11" t="s">
        <v>302</v>
      </c>
      <c r="C49" s="90" t="s">
        <v>8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288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285</v>
      </c>
    </row>
    <row r="52" spans="1:7" x14ac:dyDescent="0.25">
      <c r="B52" s="5" t="s">
        <v>316</v>
      </c>
      <c r="C52" s="90">
        <f t="shared" ref="C52:D55" si="3">IF(C6=1,1,C6*1.1)</f>
        <v>1</v>
      </c>
      <c r="D52" s="90">
        <f t="shared" si="3"/>
        <v>1</v>
      </c>
      <c r="E52" s="90">
        <f>IF(ISBLANK('Distribución estado nutricional'!E$4),0.92, (0.92*SUM('Distribución estado nutricional'!E$4:E$5)/(1-0.92*SUM('Distribución estado nutricional'!E$4:E$5)))/ (SUM('Distribución estado nutricional'!E$4:E$5)/(1-SUM('Distribución estado nutricional'!E$4:E$5))))</f>
        <v>0.91596430512110361</v>
      </c>
      <c r="F52" s="90">
        <f>IF(ISBLANK('Distribución estado nutricional'!F$4),0.92, (0.92*SUM('Distribución estado nutricional'!F$4:F$5)/(1-0.92*SUM('Distribución estado nutricional'!F$4:F$5)))/ (SUM('Distribución estado nutricional'!F$4:F$5)/(1-SUM('Distribución estado nutricional'!F$4:F$5))))</f>
        <v>0.91205866811219627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IF(ISBLANK('Distribución estado nutricional'!E$4),0.91, (0.91*SUM('Distribución estado nutricional'!E$4:E$5)/(1-0.91*SUM('Distribución estado nutricional'!E$4:E$5)))/ (SUM('Distribución estado nutricional'!E$4:E$5)/(1-SUM('Distribución estado nutricional'!E$4:E$5))))</f>
        <v>0.90551165387735055</v>
      </c>
      <c r="F53" s="90">
        <f>IF(ISBLANK('Distribución estado nutricional'!F$4),0.91, (0.91*SUM('Distribución estado nutricional'!F$4:F$5)/(1-0.91*SUM('Distribución estado nutricional'!F$4:F$5)))/ (SUM('Distribución estado nutricional'!F$4:F$5)/(1-SUM('Distribución estado nutricional'!F$4:F$5))))</f>
        <v>0.90117263490147137</v>
      </c>
      <c r="G53" s="90">
        <f>IF(G7=1,1,G7*1.1)</f>
        <v>1</v>
      </c>
    </row>
    <row r="54" spans="1:7" x14ac:dyDescent="0.25">
      <c r="B54" s="5" t="s">
        <v>320</v>
      </c>
      <c r="C54" s="90">
        <f t="shared" si="3"/>
        <v>1</v>
      </c>
      <c r="D54" s="90">
        <f t="shared" si="3"/>
        <v>1</v>
      </c>
      <c r="E54" s="90">
        <f>IF(ISBLANK('Distribución estado nutricional'!E$4),0.91, (0.91*SUM('Distribución estado nutricional'!E$4:E$5)/(1-0.91*SUM('Distribución estado nutricional'!E$4:E$5)))/ (SUM('Distribución estado nutricional'!E$4:E$5)/(1-SUM('Distribución estado nutricional'!E$4:E$5))))</f>
        <v>0.90551165387735055</v>
      </c>
      <c r="F54" s="90">
        <f>IF(ISBLANK('Distribución estado nutricional'!F$4),0.91, (0.91*SUM('Distribución estado nutricional'!F$4:F$5)/(1-0.91*SUM('Distribución estado nutricional'!F$4:F$5)))/ (SUM('Distribución estado nutricional'!F$4:F$5)/(1-SUM('Distribución estado nutricional'!F$4:F$5))))</f>
        <v>0.90117263490147137</v>
      </c>
      <c r="G54" s="90">
        <f>IF(G8=1,1,G8*1.1)</f>
        <v>1</v>
      </c>
    </row>
    <row r="55" spans="1:7" x14ac:dyDescent="0.25">
      <c r="B55" s="5" t="s">
        <v>318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309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314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282</v>
      </c>
      <c r="B61" s="5" t="s">
        <v>296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293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105</v>
      </c>
      <c r="B63" s="11" t="s">
        <v>299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312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5">
      <c r="B67" s="11" t="s">
        <v>290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bC8u+E0rN4epQGWbPTisffNJzIkj99ljbs5kBTUfWSNUij9lZPzp9+E3wSQrb4pfGer1S596ukBJ17tHsuGyxQ==" saltValue="Fi8dc37fRZrgVPBqk+4Uv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E28" sqref="E28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5">
      <c r="A2" s="5" t="s">
        <v>165</v>
      </c>
      <c r="B2" s="5" t="s">
        <v>322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178</v>
      </c>
      <c r="B4" s="5" t="s">
        <v>322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179</v>
      </c>
      <c r="B6" s="5" t="s">
        <v>322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191</v>
      </c>
      <c r="B12" s="5" t="s">
        <v>322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5">
      <c r="A17" s="5" t="s">
        <v>165</v>
      </c>
      <c r="B17" s="5" t="s">
        <v>322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178</v>
      </c>
      <c r="B19" s="5" t="s">
        <v>322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179</v>
      </c>
      <c r="B21" s="5" t="s">
        <v>322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180</v>
      </c>
      <c r="B23" s="5" t="s">
        <v>322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322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191</v>
      </c>
      <c r="B27" s="5" t="s">
        <v>322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245</v>
      </c>
    </row>
    <row r="31" spans="1:6" ht="15.75" customHeight="1" x14ac:dyDescent="0.3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5">
      <c r="A32" s="5" t="s">
        <v>165</v>
      </c>
      <c r="B32" s="5" t="s">
        <v>322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178</v>
      </c>
      <c r="B34" s="5" t="s">
        <v>322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179</v>
      </c>
      <c r="B36" s="5" t="s">
        <v>322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180</v>
      </c>
      <c r="B38" s="5" t="s">
        <v>322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322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191</v>
      </c>
      <c r="B42" s="5" t="s">
        <v>322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WKMniMalVfx/wOBpTB7SsT9cgrIN0ou+6PZPZpXTzz5iv8BgKizoK9AuX5SZd2A+ZPge8ApWRSBwN1cetReMvw==" saltValue="xyMPeE2TnR8vlSrKuaV5Y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8" zoomScale="70" zoomScaleNormal="70" workbookViewId="0">
      <selection activeCell="E28" sqref="E28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ht="13" customHeight="1" x14ac:dyDescent="0.3">
      <c r="A2" s="4" t="s">
        <v>326</v>
      </c>
    </row>
    <row r="3" spans="1:15" x14ac:dyDescent="0.25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204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171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172</v>
      </c>
      <c r="C19" s="90">
        <v>1</v>
      </c>
      <c r="D19" s="90">
        <v>1</v>
      </c>
      <c r="E19" s="90">
        <f>IF(ISBLANK('Distribución estado nutricional'!E$14),0.72,(0.72*'Distribución estado nutricional'!E$14/(1-0.72*'Distribución estado nutricional'!E$14))
/ ('Distribución estado nutricional'!E$14/(1-'Distribución estado nutricional'!E$14)))</f>
        <v>0.66305209386308717</v>
      </c>
      <c r="F19" s="90">
        <f>IF(ISBLANK('Distribución estado nutricional'!F$14),0.72,(0.72*'Distribución estado nutricional'!F$14/(1-0.72*'Distribución estado nutricional'!F$14))
/ ('Distribución estado nutricional'!F$14/(1-'Distribución estado nutricional'!F$14)))</f>
        <v>0.66638722274481388</v>
      </c>
      <c r="G19" s="90">
        <f>IF(ISBLANK('Distribución estado nutricional'!G$14),0.72,(0.72*'Distribución estado nutricional'!G$14/(1-0.72*'Distribución estado nutricional'!G$14))
/ ('Distribución estado nutricional'!G$14/(1-'Distribución estado nutricional'!G$14)))</f>
        <v>0.66638722274481388</v>
      </c>
      <c r="H19" s="90">
        <f>IF(ISBLANK('Distribución estado nutricional'!H$14),0.72,(0.72*'Distribución estado nutricional'!H$14/(1-0.72*'Distribución estado nutricional'!H$14))
/ ('Distribución estado nutricional'!H$14/(1-'Distribución estado nutricional'!H$14)))</f>
        <v>0.62781794980859218</v>
      </c>
      <c r="I19" s="90">
        <f>IF(ISBLANK('Distribución estado nutricional'!I$14),0.72,(0.72*'Distribución estado nutricional'!I$14/(1-0.72*'Distribución estado nutricional'!I$14))
/ ('Distribución estado nutricional'!I$14/(1-'Distribución estado nutricional'!I$14)))</f>
        <v>0.62781794980859218</v>
      </c>
      <c r="J19" s="90">
        <f>IF(ISBLANK('Distribución estado nutricional'!J$14),0.72,(0.72*'Distribución estado nutricional'!J$14/(1-0.72*'Distribución estado nutricional'!J$14))
/ ('Distribución estado nutricional'!J$14/(1-'Distribución estado nutricional'!J$14)))</f>
        <v>0.62781794980859218</v>
      </c>
      <c r="K19" s="90">
        <f>IF(ISBLANK('Distribución estado nutricional'!K$14),0.72,(0.72*'Distribución estado nutricional'!K$14/(1-0.72*'Distribución estado nutricional'!K$14))
/ ('Distribución estado nutricional'!K$14/(1-'Distribución estado nutricional'!K$14)))</f>
        <v>0.62781794980859218</v>
      </c>
      <c r="L19" s="90">
        <f>IF(ISBLANK('Distribución estado nutricional'!L$14),0.72,(0.72*'Distribución estado nutricional'!L$14/(1-0.72*'Distribución estado nutricional'!L$14))
/ ('Distribución estado nutricional'!L$14/(1-'Distribución estado nutricional'!L$14)))</f>
        <v>0.6405463695183321</v>
      </c>
      <c r="M19" s="90">
        <f>IF(ISBLANK('Distribución estado nutricional'!M$14),0.72,(0.72*'Distribución estado nutricional'!M$14/(1-0.72*'Distribución estado nutricional'!M$14))
/ ('Distribución estado nutricional'!M$14/(1-'Distribución estado nutricional'!M$14)))</f>
        <v>0.6405463695183321</v>
      </c>
      <c r="N19" s="90">
        <f>IF(ISBLANK('Distribución estado nutricional'!N$14),0.72,(0.72*'Distribución estado nutricional'!N$14/(1-0.72*'Distribución estado nutricional'!N$14))
/ ('Distribución estado nutricional'!N$14/(1-'Distribución estado nutricional'!N$14)))</f>
        <v>0.6405463695183321</v>
      </c>
      <c r="O19" s="90">
        <f>IF(ISBLANK('Distribución estado nutricional'!O$14),0.72,(0.72*'Distribución estado nutricional'!O$14/(1-0.72*'Distribución estado nutricional'!O$14))
/ ('Distribución estado nutricional'!O$14/(1-'Distribución estado nutricional'!O$14)))</f>
        <v>0.6405463695183321</v>
      </c>
    </row>
    <row r="20" spans="1:15" x14ac:dyDescent="0.25">
      <c r="B20" s="5" t="s">
        <v>173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181</v>
      </c>
      <c r="C21" s="90">
        <v>1</v>
      </c>
      <c r="D21" s="90">
        <v>1</v>
      </c>
      <c r="E21" s="90">
        <f>IF(ISBLANK('Distribución estado nutricional'!E$14),0.8,(0.8*'Distribución estado nutricional'!E$14/(1-0.8*'Distribución estado nutricional'!E$14))
/ ('Distribución estado nutricional'!E$14/(1-'Distribución estado nutricional'!E$14)))</f>
        <v>0.753758260916362</v>
      </c>
      <c r="F21" s="90">
        <f>IF(ISBLANK('Distribución estado nutricional'!F$14),0.8,(0.8*'Distribución estado nutricional'!F$14/(1-0.8*'Distribución estado nutricional'!F$14))
/ ('Distribución estado nutricional'!F$14/(1-'Distribución estado nutricional'!F$14)))</f>
        <v>0.75652525543371818</v>
      </c>
      <c r="G21" s="90">
        <f>IF(ISBLANK('Distribución estado nutricional'!G$14),0.8,(0.8*'Distribución estado nutricional'!G$14/(1-0.8*'Distribución estado nutricional'!G$14))
/ ('Distribución estado nutricional'!G$14/(1-'Distribución estado nutricional'!G$14)))</f>
        <v>0.75652525543371818</v>
      </c>
      <c r="H21" s="90">
        <f>IF(ISBLANK('Distribución estado nutricional'!H$14),0.8,(0.8*'Distribución estado nutricional'!H$14/(1-0.8*'Distribución estado nutricional'!H$14))
/ ('Distribución estado nutricional'!H$14/(1-'Distribución estado nutricional'!H$14)))</f>
        <v>0.72406181015452553</v>
      </c>
      <c r="I21" s="90">
        <f>IF(ISBLANK('Distribución estado nutricional'!I$14),0.8,(0.8*'Distribución estado nutricional'!I$14/(1-0.8*'Distribución estado nutricional'!I$14))
/ ('Distribución estado nutricional'!I$14/(1-'Distribución estado nutricional'!I$14)))</f>
        <v>0.72406181015452553</v>
      </c>
      <c r="J21" s="90">
        <f>IF(ISBLANK('Distribución estado nutricional'!J$14),0.8,(0.8*'Distribución estado nutricional'!J$14/(1-0.8*'Distribución estado nutricional'!J$14))
/ ('Distribución estado nutricional'!J$14/(1-'Distribución estado nutricional'!J$14)))</f>
        <v>0.72406181015452553</v>
      </c>
      <c r="K21" s="90">
        <f>IF(ISBLANK('Distribución estado nutricional'!K$14),0.8,(0.8*'Distribución estado nutricional'!K$14/(1-0.8*'Distribución estado nutricional'!K$14))
/ ('Distribución estado nutricional'!K$14/(1-'Distribución estado nutricional'!K$14)))</f>
        <v>0.72406181015452553</v>
      </c>
      <c r="L21" s="90">
        <f>IF(ISBLANK('Distribución estado nutricional'!L$14),0.8,(0.8*'Distribución estado nutricional'!L$14/(1-0.8*'Distribución estado nutricional'!L$14))
/ ('Distribución estado nutricional'!L$14/(1-'Distribución estado nutricional'!L$14)))</f>
        <v>0.73488865323435859</v>
      </c>
      <c r="M21" s="90">
        <f>IF(ISBLANK('Distribución estado nutricional'!M$14),0.8,(0.8*'Distribución estado nutricional'!M$14/(1-0.8*'Distribución estado nutricional'!M$14))
/ ('Distribución estado nutricional'!M$14/(1-'Distribución estado nutricional'!M$14)))</f>
        <v>0.73488865323435859</v>
      </c>
      <c r="N21" s="90">
        <f>IF(ISBLANK('Distribución estado nutricional'!N$14),0.8,(0.8*'Distribución estado nutricional'!N$14/(1-0.8*'Distribución estado nutricional'!N$14))
/ ('Distribución estado nutricional'!N$14/(1-'Distribución estado nutricional'!N$14)))</f>
        <v>0.73488865323435859</v>
      </c>
      <c r="O21" s="90">
        <f>IF(ISBLANK('Distribución estado nutricional'!O$14),0.8,(0.8*'Distribución estado nutricional'!O$14/(1-0.8*'Distribución estado nutricional'!O$14))
/ ('Distribución estado nutricional'!O$14/(1-'Distribución estado nutricional'!O$14)))</f>
        <v>0.73488865323435859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ht="13" customHeight="1" x14ac:dyDescent="0.3">
      <c r="A25" s="4" t="s">
        <v>327</v>
      </c>
    </row>
    <row r="26" spans="1:15" x14ac:dyDescent="0.25">
      <c r="B26" s="11" t="s">
        <v>169</v>
      </c>
      <c r="C26" s="90">
        <v>0.4</v>
      </c>
      <c r="D26" s="90">
        <v>0.4</v>
      </c>
      <c r="E26" s="90">
        <f t="shared" ref="E26:O26" si="0">IF(E3=1,1,E3*0.9)</f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174</v>
      </c>
      <c r="C27" s="90">
        <f t="shared" ref="C27:G33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2">IF(L4=1,1,L4*0.9)</f>
        <v>1</v>
      </c>
      <c r="M27" s="90">
        <f t="shared" si="2"/>
        <v>1</v>
      </c>
      <c r="N27" s="90">
        <f t="shared" si="2"/>
        <v>1</v>
      </c>
      <c r="O27" s="90">
        <f t="shared" si="2"/>
        <v>1</v>
      </c>
    </row>
    <row r="28" spans="1:15" x14ac:dyDescent="0.25">
      <c r="B28" s="11" t="s">
        <v>175</v>
      </c>
      <c r="C28" s="90">
        <f t="shared" si="1"/>
        <v>1</v>
      </c>
      <c r="D28" s="90">
        <f t="shared" si="1"/>
        <v>1</v>
      </c>
      <c r="E28" s="90">
        <f t="shared" si="1"/>
        <v>1</v>
      </c>
      <c r="F28" s="90">
        <f t="shared" si="1"/>
        <v>1</v>
      </c>
      <c r="G28" s="90">
        <f t="shared" si="1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176</v>
      </c>
      <c r="C29" s="90">
        <f t="shared" si="1"/>
        <v>1</v>
      </c>
      <c r="D29" s="90">
        <f t="shared" si="1"/>
        <v>1</v>
      </c>
      <c r="E29" s="90">
        <f t="shared" si="1"/>
        <v>1</v>
      </c>
      <c r="F29" s="90">
        <f t="shared" si="1"/>
        <v>1</v>
      </c>
      <c r="G29" s="90">
        <f t="shared" si="1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2"/>
        <v>1</v>
      </c>
      <c r="M29" s="90">
        <f t="shared" si="2"/>
        <v>1</v>
      </c>
      <c r="N29" s="90">
        <f t="shared" si="2"/>
        <v>1</v>
      </c>
      <c r="O29" s="90">
        <f t="shared" si="2"/>
        <v>1</v>
      </c>
    </row>
    <row r="30" spans="1:15" x14ac:dyDescent="0.25">
      <c r="B30" s="11" t="s">
        <v>177</v>
      </c>
      <c r="C30" s="90">
        <f t="shared" si="1"/>
        <v>1</v>
      </c>
      <c r="D30" s="90">
        <f t="shared" si="1"/>
        <v>1</v>
      </c>
      <c r="E30" s="90">
        <f t="shared" si="1"/>
        <v>1</v>
      </c>
      <c r="F30" s="90">
        <f t="shared" si="1"/>
        <v>1</v>
      </c>
      <c r="G30" s="90">
        <f t="shared" si="1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2"/>
        <v>1</v>
      </c>
      <c r="M30" s="90">
        <f t="shared" si="2"/>
        <v>1</v>
      </c>
      <c r="N30" s="90">
        <f t="shared" si="2"/>
        <v>1</v>
      </c>
      <c r="O30" s="90">
        <f t="shared" si="2"/>
        <v>1</v>
      </c>
    </row>
    <row r="31" spans="1:15" x14ac:dyDescent="0.25">
      <c r="B31" s="5" t="s">
        <v>178</v>
      </c>
      <c r="C31" s="90">
        <f t="shared" si="1"/>
        <v>1</v>
      </c>
      <c r="D31" s="90">
        <f t="shared" si="1"/>
        <v>1</v>
      </c>
      <c r="E31" s="90">
        <f t="shared" si="1"/>
        <v>1</v>
      </c>
      <c r="F31" s="90">
        <f t="shared" si="1"/>
        <v>1</v>
      </c>
      <c r="G31" s="90">
        <f t="shared" si="1"/>
        <v>1</v>
      </c>
      <c r="H31" s="90">
        <f t="shared" ref="H31:K34" si="3">IF(H8=1,1,H8*0.9)</f>
        <v>1</v>
      </c>
      <c r="I31" s="90">
        <f t="shared" si="3"/>
        <v>1</v>
      </c>
      <c r="J31" s="90">
        <f t="shared" si="3"/>
        <v>1</v>
      </c>
      <c r="K31" s="90">
        <f t="shared" si="3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179</v>
      </c>
      <c r="C32" s="90">
        <f t="shared" si="1"/>
        <v>1</v>
      </c>
      <c r="D32" s="90">
        <f t="shared" si="1"/>
        <v>1</v>
      </c>
      <c r="E32" s="90">
        <f t="shared" si="1"/>
        <v>1</v>
      </c>
      <c r="F32" s="90">
        <f t="shared" si="1"/>
        <v>1</v>
      </c>
      <c r="G32" s="90">
        <f t="shared" si="1"/>
        <v>1</v>
      </c>
      <c r="H32" s="90">
        <f t="shared" si="3"/>
        <v>1</v>
      </c>
      <c r="I32" s="90">
        <f t="shared" si="3"/>
        <v>1</v>
      </c>
      <c r="J32" s="90">
        <f t="shared" si="3"/>
        <v>1</v>
      </c>
      <c r="K32" s="90">
        <f t="shared" si="3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180</v>
      </c>
      <c r="C33" s="90">
        <f t="shared" si="1"/>
        <v>1</v>
      </c>
      <c r="D33" s="90">
        <f t="shared" si="1"/>
        <v>1</v>
      </c>
      <c r="E33" s="90">
        <f t="shared" si="1"/>
        <v>1</v>
      </c>
      <c r="F33" s="90">
        <f t="shared" si="1"/>
        <v>1</v>
      </c>
      <c r="G33" s="90">
        <f t="shared" si="1"/>
        <v>1</v>
      </c>
      <c r="H33" s="90">
        <f t="shared" si="3"/>
        <v>1</v>
      </c>
      <c r="I33" s="90">
        <f t="shared" si="3"/>
        <v>1</v>
      </c>
      <c r="J33" s="90">
        <f t="shared" si="3"/>
        <v>1</v>
      </c>
      <c r="K33" s="90">
        <f t="shared" si="3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184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3"/>
        <v>1</v>
      </c>
      <c r="I34" s="90">
        <f t="shared" si="3"/>
        <v>1</v>
      </c>
      <c r="J34" s="90">
        <f t="shared" si="3"/>
        <v>1</v>
      </c>
      <c r="K34" s="90">
        <f t="shared" si="3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185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190</v>
      </c>
      <c r="C36" s="90">
        <f t="shared" ref="C36:D38" si="4">IF(C13=1,1,C13*0.9)</f>
        <v>1</v>
      </c>
      <c r="D36" s="90">
        <f t="shared" si="4"/>
        <v>1</v>
      </c>
      <c r="E36" s="90">
        <v>0.62</v>
      </c>
      <c r="F36" s="90">
        <v>0.62</v>
      </c>
      <c r="G36" s="90">
        <v>0.62</v>
      </c>
      <c r="H36" s="90">
        <f t="shared" ref="H36:O36" si="5">IF(H13=1,1,H13*0.9)</f>
        <v>1</v>
      </c>
      <c r="I36" s="90">
        <f t="shared" si="5"/>
        <v>1</v>
      </c>
      <c r="J36" s="90">
        <f t="shared" si="5"/>
        <v>1</v>
      </c>
      <c r="K36" s="90">
        <f t="shared" si="5"/>
        <v>1</v>
      </c>
      <c r="L36" s="90">
        <f t="shared" si="5"/>
        <v>1</v>
      </c>
      <c r="M36" s="90">
        <f t="shared" si="5"/>
        <v>1</v>
      </c>
      <c r="N36" s="90">
        <f t="shared" si="5"/>
        <v>1</v>
      </c>
      <c r="O36" s="90">
        <f t="shared" si="5"/>
        <v>1</v>
      </c>
    </row>
    <row r="37" spans="1:15" x14ac:dyDescent="0.25">
      <c r="B37" s="11" t="s">
        <v>191</v>
      </c>
      <c r="C37" s="90">
        <f t="shared" si="4"/>
        <v>1</v>
      </c>
      <c r="D37" s="90">
        <f t="shared" si="4"/>
        <v>1</v>
      </c>
      <c r="E37" s="90">
        <f t="shared" ref="E37:K37" si="6">IF(E14=1,1,E14*0.9)</f>
        <v>1</v>
      </c>
      <c r="F37" s="90">
        <f t="shared" si="6"/>
        <v>1</v>
      </c>
      <c r="G37" s="90">
        <f t="shared" si="6"/>
        <v>1</v>
      </c>
      <c r="H37" s="90">
        <f t="shared" si="6"/>
        <v>1</v>
      </c>
      <c r="I37" s="90">
        <f t="shared" si="6"/>
        <v>1</v>
      </c>
      <c r="J37" s="90">
        <f t="shared" si="6"/>
        <v>1</v>
      </c>
      <c r="K37" s="90">
        <f t="shared" si="6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204</v>
      </c>
      <c r="C38" s="90">
        <f t="shared" si="4"/>
        <v>1</v>
      </c>
      <c r="D38" s="90">
        <f t="shared" si="4"/>
        <v>1</v>
      </c>
      <c r="E38" s="90">
        <v>0.3</v>
      </c>
      <c r="F38" s="90">
        <v>0.3</v>
      </c>
      <c r="G38" s="90">
        <f t="shared" ref="G38:O38" si="7">IF(G15=1,1,G15*0.9)</f>
        <v>1</v>
      </c>
      <c r="H38" s="90">
        <f t="shared" si="7"/>
        <v>1</v>
      </c>
      <c r="I38" s="90">
        <f t="shared" si="7"/>
        <v>1</v>
      </c>
      <c r="J38" s="90">
        <f t="shared" si="7"/>
        <v>1</v>
      </c>
      <c r="K38" s="90">
        <f t="shared" si="7"/>
        <v>1</v>
      </c>
      <c r="L38" s="90">
        <f t="shared" si="7"/>
        <v>1</v>
      </c>
      <c r="M38" s="90">
        <f t="shared" si="7"/>
        <v>1</v>
      </c>
      <c r="N38" s="90">
        <f t="shared" si="7"/>
        <v>1</v>
      </c>
      <c r="O38" s="90">
        <f t="shared" si="7"/>
        <v>1</v>
      </c>
    </row>
    <row r="40" spans="1:15" ht="13" customHeight="1" x14ac:dyDescent="0.3">
      <c r="A40" s="4" t="s">
        <v>324</v>
      </c>
      <c r="B40" s="11"/>
    </row>
    <row r="41" spans="1:15" x14ac:dyDescent="0.25">
      <c r="B41" s="5" t="s">
        <v>171</v>
      </c>
      <c r="C41" s="90">
        <f t="shared" ref="C41:O41" si="8">IF(C18=1,1,C18*0.9)</f>
        <v>1</v>
      </c>
      <c r="D41" s="90">
        <f t="shared" si="8"/>
        <v>1</v>
      </c>
      <c r="E41" s="90">
        <f t="shared" si="8"/>
        <v>1</v>
      </c>
      <c r="F41" s="90">
        <f t="shared" si="8"/>
        <v>1</v>
      </c>
      <c r="G41" s="90">
        <f t="shared" si="8"/>
        <v>1</v>
      </c>
      <c r="H41" s="90">
        <f t="shared" si="8"/>
        <v>1</v>
      </c>
      <c r="I41" s="90">
        <f t="shared" si="8"/>
        <v>1</v>
      </c>
      <c r="J41" s="90">
        <f t="shared" si="8"/>
        <v>1</v>
      </c>
      <c r="K41" s="90">
        <f t="shared" si="8"/>
        <v>1</v>
      </c>
      <c r="L41" s="90">
        <f t="shared" si="8"/>
        <v>1</v>
      </c>
      <c r="M41" s="90">
        <f t="shared" si="8"/>
        <v>1</v>
      </c>
      <c r="N41" s="90">
        <f t="shared" si="8"/>
        <v>1</v>
      </c>
      <c r="O41" s="90">
        <f t="shared" si="8"/>
        <v>1</v>
      </c>
    </row>
    <row r="42" spans="1:15" x14ac:dyDescent="0.25">
      <c r="B42" s="5" t="s">
        <v>172</v>
      </c>
      <c r="C42" s="90">
        <f t="shared" ref="C42:D44" si="9">IF(C19=1,1,C19*0.9)</f>
        <v>1</v>
      </c>
      <c r="D42" s="90">
        <f t="shared" si="9"/>
        <v>1</v>
      </c>
      <c r="E42" s="90">
        <f>IF(ISBLANK('Distribución estado nutricional'!E$14),0.54,(0.54*'Distribución estado nutricional'!E$14/(1-0.54*'Distribución estado nutricional'!E$14))
/ ('Distribución estado nutricional'!E$14/(1-'Distribución estado nutricional'!E$14)))</f>
        <v>0.47322719717741063</v>
      </c>
      <c r="F42" s="90">
        <f>IF(ISBLANK('Distribución estado nutricional'!F$14),0.54,(0.54*'Distribución estado nutricional'!F$14/(1-0.54*'Distribución estado nutricional'!F$14))
/ ('Distribución estado nutricional'!F$14/(1-'Distribución estado nutricional'!F$14)))</f>
        <v>0.47695907709424196</v>
      </c>
      <c r="G42" s="90">
        <f>IF(ISBLANK('Distribución estado nutricional'!G$14),0.54,(0.54*'Distribución estado nutricional'!G$14/(1-0.54*'Distribución estado nutricional'!G$14))
/ ('Distribución estado nutricional'!G$14/(1-'Distribución estado nutricional'!G$14)))</f>
        <v>0.47695907709424196</v>
      </c>
      <c r="H42" s="90">
        <f>IF(ISBLANK('Distribución estado nutricional'!H$14),0.54,(0.54*'Distribución estado nutricional'!H$14/(1-0.54*'Distribución estado nutricional'!H$14))
/ ('Distribución estado nutricional'!H$14/(1-'Distribución estado nutricional'!H$14)))</f>
        <v>0.43505600314403625</v>
      </c>
      <c r="I42" s="90">
        <f>IF(ISBLANK('Distribución estado nutricional'!I$14),0.54,(0.54*'Distribución estado nutricional'!I$14/(1-0.54*'Distribución estado nutricional'!I$14))
/ ('Distribución estado nutricional'!I$14/(1-'Distribución estado nutricional'!I$14)))</f>
        <v>0.43505600314403625</v>
      </c>
      <c r="J42" s="90">
        <f>IF(ISBLANK('Distribución estado nutricional'!J$14),0.54,(0.54*'Distribución estado nutricional'!J$14/(1-0.54*'Distribución estado nutricional'!J$14))
/ ('Distribución estado nutricional'!J$14/(1-'Distribución estado nutricional'!J$14)))</f>
        <v>0.43505600314403625</v>
      </c>
      <c r="K42" s="90">
        <f>IF(ISBLANK('Distribución estado nutricional'!K$14),0.54,(0.54*'Distribución estado nutricional'!K$14/(1-0.54*'Distribución estado nutricional'!K$14))
/ ('Distribución estado nutricional'!K$14/(1-'Distribución estado nutricional'!K$14)))</f>
        <v>0.43505600314403625</v>
      </c>
      <c r="L42" s="90">
        <f>IF(ISBLANK('Distribución estado nutricional'!L$14),0.54,(0.54*'Distribución estado nutricional'!L$14/(1-0.54*'Distribución estado nutricional'!L$14))
/ ('Distribución estado nutricional'!L$14/(1-'Distribución estado nutricional'!L$14)))</f>
        <v>0.44858670374721304</v>
      </c>
      <c r="M42" s="90">
        <f>IF(ISBLANK('Distribución estado nutricional'!M$14),0.54,(0.54*'Distribución estado nutricional'!M$14/(1-0.54*'Distribución estado nutricional'!M$14))
/ ('Distribución estado nutricional'!M$14/(1-'Distribución estado nutricional'!M$14)))</f>
        <v>0.44858670374721304</v>
      </c>
      <c r="N42" s="90">
        <f>IF(ISBLANK('Distribución estado nutricional'!N$14),0.54,(0.54*'Distribución estado nutricional'!N$14/(1-0.54*'Distribución estado nutricional'!N$14))
/ ('Distribución estado nutricional'!N$14/(1-'Distribución estado nutricional'!N$14)))</f>
        <v>0.44858670374721304</v>
      </c>
      <c r="O42" s="90">
        <f>IF(ISBLANK('Distribución estado nutricional'!O$14),0.54,(0.54*'Distribución estado nutricional'!O$14/(1-0.54*'Distribución estado nutricional'!O$14))
/ ('Distribución estado nutricional'!O$14/(1-'Distribución estado nutricional'!O$14)))</f>
        <v>0.44858670374721304</v>
      </c>
    </row>
    <row r="43" spans="1:15" x14ac:dyDescent="0.25">
      <c r="B43" s="5" t="s">
        <v>173</v>
      </c>
      <c r="C43" s="90">
        <f t="shared" si="9"/>
        <v>1</v>
      </c>
      <c r="D43" s="90">
        <f t="shared" si="9"/>
        <v>1</v>
      </c>
      <c r="E43" s="90">
        <f t="shared" ref="E43:O43" si="10">IF(E20=1,1,E20*0.9)</f>
        <v>1</v>
      </c>
      <c r="F43" s="90">
        <f t="shared" si="10"/>
        <v>1</v>
      </c>
      <c r="G43" s="90">
        <f t="shared" si="10"/>
        <v>1</v>
      </c>
      <c r="H43" s="90">
        <f t="shared" si="10"/>
        <v>1</v>
      </c>
      <c r="I43" s="90">
        <f t="shared" si="10"/>
        <v>1</v>
      </c>
      <c r="J43" s="90">
        <f t="shared" si="10"/>
        <v>1</v>
      </c>
      <c r="K43" s="90">
        <f t="shared" si="10"/>
        <v>1</v>
      </c>
      <c r="L43" s="90">
        <f t="shared" si="10"/>
        <v>1</v>
      </c>
      <c r="M43" s="90">
        <f t="shared" si="10"/>
        <v>1</v>
      </c>
      <c r="N43" s="90">
        <f t="shared" si="10"/>
        <v>1</v>
      </c>
      <c r="O43" s="90">
        <f t="shared" si="10"/>
        <v>1</v>
      </c>
    </row>
    <row r="44" spans="1:15" x14ac:dyDescent="0.25">
      <c r="B44" s="5" t="s">
        <v>181</v>
      </c>
      <c r="C44" s="90">
        <f t="shared" si="9"/>
        <v>1</v>
      </c>
      <c r="D44" s="90">
        <f t="shared" si="9"/>
        <v>1</v>
      </c>
      <c r="E44" s="90">
        <f>IF(ISBLANK('Distribución estado nutricional'!E$14),0.7,(0.7*'Distribución estado nutricional'!E$14/(1-0.7*'Distribución estado nutricional'!E$14))
/ ('Distribución estado nutricional'!E$14/(1-'Distribución estado nutricional'!E$14)))</f>
        <v>0.64101251974713391</v>
      </c>
      <c r="F44" s="90">
        <f>IF(ISBLANK('Distribución estado nutricional'!F$14),0.7,(0.7*'Distribución estado nutricional'!F$14/(1-0.7*'Distribución estado nutricional'!F$14))
/ ('Distribución estado nutricional'!F$14/(1-'Distribución estado nutricional'!F$14)))</f>
        <v>0.64444881864413095</v>
      </c>
      <c r="G44" s="90">
        <f>IF(ISBLANK('Distribución estado nutricional'!G$14),0.7,(0.7*'Distribución estado nutricional'!G$14/(1-0.7*'Distribución estado nutricional'!G$14))
/ ('Distribución estado nutricional'!G$14/(1-'Distribución estado nutricional'!G$14)))</f>
        <v>0.64444881864413095</v>
      </c>
      <c r="H44" s="90">
        <f>IF(ISBLANK('Distribución estado nutricional'!H$14),0.7,(0.7*'Distribución estado nutricional'!H$14/(1-0.7*'Distribución estado nutricional'!H$14))
/ ('Distribución estado nutricional'!H$14/(1-'Distribución estado nutricional'!H$14)))</f>
        <v>0.60484720758693356</v>
      </c>
      <c r="I44" s="90">
        <f>IF(ISBLANK('Distribución estado nutricional'!I$14),0.7,(0.7*'Distribución estado nutricional'!I$14/(1-0.7*'Distribución estado nutricional'!I$14))
/ ('Distribución estado nutricional'!I$14/(1-'Distribución estado nutricional'!I$14)))</f>
        <v>0.60484720758693356</v>
      </c>
      <c r="J44" s="90">
        <f>IF(ISBLANK('Distribución estado nutricional'!J$14),0.7,(0.7*'Distribución estado nutricional'!J$14/(1-0.7*'Distribución estado nutricional'!J$14))
/ ('Distribución estado nutricional'!J$14/(1-'Distribución estado nutricional'!J$14)))</f>
        <v>0.60484720758693356</v>
      </c>
      <c r="K44" s="90">
        <f>IF(ISBLANK('Distribución estado nutricional'!K$14),0.7,(0.7*'Distribución estado nutricional'!K$14/(1-0.7*'Distribución estado nutricional'!K$14))
/ ('Distribución estado nutricional'!K$14/(1-'Distribución estado nutricional'!K$14)))</f>
        <v>0.60484720758693356</v>
      </c>
      <c r="L44" s="90">
        <f>IF(ISBLANK('Distribución estado nutricional'!L$14),0.7,(0.7*'Distribución estado nutricional'!L$14/(1-0.7*'Distribución estado nutricional'!L$14))
/ ('Distribución estado nutricional'!L$14/(1-'Distribución estado nutricional'!L$14)))</f>
        <v>0.61788307222009942</v>
      </c>
      <c r="M44" s="90">
        <f>IF(ISBLANK('Distribución estado nutricional'!M$14),0.7,(0.7*'Distribución estado nutricional'!M$14/(1-0.7*'Distribución estado nutricional'!M$14))
/ ('Distribución estado nutricional'!M$14/(1-'Distribución estado nutricional'!M$14)))</f>
        <v>0.61788307222009942</v>
      </c>
      <c r="N44" s="90">
        <f>IF(ISBLANK('Distribución estado nutricional'!N$14),0.7,(0.7*'Distribución estado nutricional'!N$14/(1-0.7*'Distribución estado nutricional'!N$14))
/ ('Distribución estado nutricional'!N$14/(1-'Distribución estado nutricional'!N$14)))</f>
        <v>0.61788307222009942</v>
      </c>
      <c r="O44" s="90">
        <f>IF(ISBLANK('Distribución estado nutricional'!O$14),0.7,(0.7*'Distribución estado nutricional'!O$14/(1-0.7*'Distribución estado nutricional'!O$14))
/ ('Distribución estado nutricional'!O$14/(1-'Distribución estado nutricional'!O$14)))</f>
        <v>0.61788307222009942</v>
      </c>
    </row>
    <row r="46" spans="1:15" s="92" customFormat="1" ht="13" customHeight="1" x14ac:dyDescent="0.3">
      <c r="A46" s="92" t="s">
        <v>245</v>
      </c>
    </row>
    <row r="47" spans="1:15" ht="26" customHeight="1" x14ac:dyDescent="0.3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ht="13" customHeight="1" x14ac:dyDescent="0.3">
      <c r="A48" s="4" t="s">
        <v>328</v>
      </c>
    </row>
    <row r="49" spans="1:15" x14ac:dyDescent="0.25">
      <c r="B49" s="11" t="s">
        <v>169</v>
      </c>
      <c r="C49" s="90">
        <v>0.7</v>
      </c>
      <c r="D49" s="90">
        <v>0.7</v>
      </c>
      <c r="E49" s="90">
        <f t="shared" ref="E49:O49" si="11">IF(E3=1,1,E3*1.05)</f>
        <v>1</v>
      </c>
      <c r="F49" s="90">
        <f t="shared" si="11"/>
        <v>1</v>
      </c>
      <c r="G49" s="90">
        <f t="shared" si="11"/>
        <v>1</v>
      </c>
      <c r="H49" s="90">
        <f t="shared" si="11"/>
        <v>1</v>
      </c>
      <c r="I49" s="90">
        <f t="shared" si="11"/>
        <v>1</v>
      </c>
      <c r="J49" s="90">
        <f t="shared" si="11"/>
        <v>1</v>
      </c>
      <c r="K49" s="90">
        <f t="shared" si="11"/>
        <v>1</v>
      </c>
      <c r="L49" s="90">
        <f t="shared" si="11"/>
        <v>1</v>
      </c>
      <c r="M49" s="90">
        <f t="shared" si="11"/>
        <v>1</v>
      </c>
      <c r="N49" s="90">
        <f t="shared" si="11"/>
        <v>1</v>
      </c>
      <c r="O49" s="90">
        <f t="shared" si="11"/>
        <v>1</v>
      </c>
    </row>
    <row r="50" spans="1:15" x14ac:dyDescent="0.25">
      <c r="B50" s="11" t="s">
        <v>174</v>
      </c>
      <c r="C50" s="90">
        <f t="shared" ref="C50:G56" si="12">IF(C4=1,1,C4*1.05)</f>
        <v>1</v>
      </c>
      <c r="D50" s="90">
        <f t="shared" si="12"/>
        <v>1</v>
      </c>
      <c r="E50" s="90">
        <f t="shared" si="12"/>
        <v>1</v>
      </c>
      <c r="F50" s="90">
        <f t="shared" si="12"/>
        <v>1</v>
      </c>
      <c r="G50" s="90">
        <f t="shared" si="12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3">IF(L4=1,1,L4*1.05)</f>
        <v>1</v>
      </c>
      <c r="M50" s="90">
        <f t="shared" si="13"/>
        <v>1</v>
      </c>
      <c r="N50" s="90">
        <f t="shared" si="13"/>
        <v>1</v>
      </c>
      <c r="O50" s="90">
        <f t="shared" si="13"/>
        <v>1</v>
      </c>
    </row>
    <row r="51" spans="1:15" x14ac:dyDescent="0.25">
      <c r="B51" s="11" t="s">
        <v>175</v>
      </c>
      <c r="C51" s="90">
        <f t="shared" si="12"/>
        <v>1</v>
      </c>
      <c r="D51" s="90">
        <f t="shared" si="12"/>
        <v>1</v>
      </c>
      <c r="E51" s="90">
        <f t="shared" si="12"/>
        <v>1</v>
      </c>
      <c r="F51" s="90">
        <f t="shared" si="12"/>
        <v>1</v>
      </c>
      <c r="G51" s="90">
        <f t="shared" si="12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3"/>
        <v>1</v>
      </c>
      <c r="M51" s="90">
        <f t="shared" si="13"/>
        <v>1</v>
      </c>
      <c r="N51" s="90">
        <f t="shared" si="13"/>
        <v>1</v>
      </c>
      <c r="O51" s="90">
        <f t="shared" si="13"/>
        <v>1</v>
      </c>
    </row>
    <row r="52" spans="1:15" x14ac:dyDescent="0.25">
      <c r="B52" s="11" t="s">
        <v>176</v>
      </c>
      <c r="C52" s="90">
        <f t="shared" si="12"/>
        <v>1</v>
      </c>
      <c r="D52" s="90">
        <f t="shared" si="12"/>
        <v>1</v>
      </c>
      <c r="E52" s="90">
        <f t="shared" si="12"/>
        <v>1</v>
      </c>
      <c r="F52" s="90">
        <f t="shared" si="12"/>
        <v>1</v>
      </c>
      <c r="G52" s="90">
        <f t="shared" si="12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3"/>
        <v>1</v>
      </c>
      <c r="M52" s="90">
        <f t="shared" si="13"/>
        <v>1</v>
      </c>
      <c r="N52" s="90">
        <f t="shared" si="13"/>
        <v>1</v>
      </c>
      <c r="O52" s="90">
        <f t="shared" si="13"/>
        <v>1</v>
      </c>
    </row>
    <row r="53" spans="1:15" x14ac:dyDescent="0.25">
      <c r="B53" s="11" t="s">
        <v>177</v>
      </c>
      <c r="C53" s="90">
        <f t="shared" si="12"/>
        <v>1</v>
      </c>
      <c r="D53" s="90">
        <f t="shared" si="12"/>
        <v>1</v>
      </c>
      <c r="E53" s="90">
        <f t="shared" si="12"/>
        <v>1</v>
      </c>
      <c r="F53" s="90">
        <f t="shared" si="12"/>
        <v>1</v>
      </c>
      <c r="G53" s="90">
        <f t="shared" si="12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3"/>
        <v>1</v>
      </c>
      <c r="M53" s="90">
        <f t="shared" si="13"/>
        <v>1</v>
      </c>
      <c r="N53" s="90">
        <f t="shared" si="13"/>
        <v>1</v>
      </c>
      <c r="O53" s="90">
        <f t="shared" si="13"/>
        <v>1</v>
      </c>
    </row>
    <row r="54" spans="1:15" x14ac:dyDescent="0.25">
      <c r="B54" s="5" t="s">
        <v>178</v>
      </c>
      <c r="C54" s="90">
        <f t="shared" si="12"/>
        <v>1</v>
      </c>
      <c r="D54" s="90">
        <f t="shared" si="12"/>
        <v>1</v>
      </c>
      <c r="E54" s="90">
        <f t="shared" si="12"/>
        <v>1</v>
      </c>
      <c r="F54" s="90">
        <f t="shared" si="12"/>
        <v>1</v>
      </c>
      <c r="G54" s="90">
        <f t="shared" si="12"/>
        <v>1</v>
      </c>
      <c r="H54" s="90">
        <f t="shared" ref="H54:K57" si="14">IF(H8=1,1,H8*1.05)</f>
        <v>1</v>
      </c>
      <c r="I54" s="90">
        <f t="shared" si="14"/>
        <v>1</v>
      </c>
      <c r="J54" s="90">
        <f t="shared" si="14"/>
        <v>1</v>
      </c>
      <c r="K54" s="90">
        <f t="shared" si="14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179</v>
      </c>
      <c r="C55" s="90">
        <f t="shared" si="12"/>
        <v>1</v>
      </c>
      <c r="D55" s="90">
        <f t="shared" si="12"/>
        <v>1</v>
      </c>
      <c r="E55" s="90">
        <f t="shared" si="12"/>
        <v>1</v>
      </c>
      <c r="F55" s="90">
        <f t="shared" si="12"/>
        <v>1</v>
      </c>
      <c r="G55" s="90">
        <f t="shared" si="12"/>
        <v>1</v>
      </c>
      <c r="H55" s="90">
        <f t="shared" si="14"/>
        <v>1</v>
      </c>
      <c r="I55" s="90">
        <f t="shared" si="14"/>
        <v>1</v>
      </c>
      <c r="J55" s="90">
        <f t="shared" si="14"/>
        <v>1</v>
      </c>
      <c r="K55" s="90">
        <f t="shared" si="14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180</v>
      </c>
      <c r="C56" s="90">
        <f t="shared" si="12"/>
        <v>1</v>
      </c>
      <c r="D56" s="90">
        <f t="shared" si="12"/>
        <v>1</v>
      </c>
      <c r="E56" s="90">
        <f t="shared" si="12"/>
        <v>1</v>
      </c>
      <c r="F56" s="90">
        <f t="shared" si="12"/>
        <v>1</v>
      </c>
      <c r="G56" s="90">
        <f t="shared" si="12"/>
        <v>1</v>
      </c>
      <c r="H56" s="90">
        <f t="shared" si="14"/>
        <v>1</v>
      </c>
      <c r="I56" s="90">
        <f t="shared" si="14"/>
        <v>1</v>
      </c>
      <c r="J56" s="90">
        <f t="shared" si="14"/>
        <v>1</v>
      </c>
      <c r="K56" s="90">
        <f t="shared" si="14"/>
        <v>1</v>
      </c>
      <c r="L56" s="90">
        <v>0.93</v>
      </c>
      <c r="M56" s="90">
        <v>0.93</v>
      </c>
      <c r="N56" s="90">
        <v>0.93</v>
      </c>
      <c r="O56" s="90">
        <v>0.93</v>
      </c>
    </row>
    <row r="57" spans="1:15" x14ac:dyDescent="0.25">
      <c r="B57" s="5" t="s">
        <v>184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4"/>
        <v>1</v>
      </c>
      <c r="I57" s="90">
        <f t="shared" si="14"/>
        <v>1</v>
      </c>
      <c r="J57" s="90">
        <f t="shared" si="14"/>
        <v>1</v>
      </c>
      <c r="K57" s="90">
        <f t="shared" si="14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185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190</v>
      </c>
      <c r="C59" s="90">
        <f t="shared" ref="C59:D61" si="15">IF(C13=1,1,C13*1.05)</f>
        <v>1</v>
      </c>
      <c r="D59" s="90">
        <f t="shared" si="15"/>
        <v>1</v>
      </c>
      <c r="E59" s="90">
        <v>0.77</v>
      </c>
      <c r="F59" s="90">
        <v>0.77</v>
      </c>
      <c r="G59" s="90">
        <v>0.77</v>
      </c>
      <c r="H59" s="90">
        <f t="shared" ref="H59:O59" si="16">IF(H13=1,1,H13*1.05)</f>
        <v>1</v>
      </c>
      <c r="I59" s="90">
        <f t="shared" si="16"/>
        <v>1</v>
      </c>
      <c r="J59" s="90">
        <f t="shared" si="16"/>
        <v>1</v>
      </c>
      <c r="K59" s="90">
        <f t="shared" si="16"/>
        <v>1</v>
      </c>
      <c r="L59" s="90">
        <f t="shared" si="16"/>
        <v>1</v>
      </c>
      <c r="M59" s="90">
        <f t="shared" si="16"/>
        <v>1</v>
      </c>
      <c r="N59" s="90">
        <f t="shared" si="16"/>
        <v>1</v>
      </c>
      <c r="O59" s="90">
        <f t="shared" si="16"/>
        <v>1</v>
      </c>
    </row>
    <row r="60" spans="1:15" x14ac:dyDescent="0.25">
      <c r="B60" s="11" t="s">
        <v>191</v>
      </c>
      <c r="C60" s="90">
        <f t="shared" si="15"/>
        <v>1</v>
      </c>
      <c r="D60" s="90">
        <f t="shared" si="15"/>
        <v>1</v>
      </c>
      <c r="E60" s="90">
        <f t="shared" ref="E60:K60" si="17">IF(E14=1,1,E14*1.05)</f>
        <v>1</v>
      </c>
      <c r="F60" s="90">
        <f t="shared" si="17"/>
        <v>1</v>
      </c>
      <c r="G60" s="90">
        <f t="shared" si="17"/>
        <v>1</v>
      </c>
      <c r="H60" s="90">
        <f t="shared" si="17"/>
        <v>1</v>
      </c>
      <c r="I60" s="90">
        <f t="shared" si="17"/>
        <v>1</v>
      </c>
      <c r="J60" s="90">
        <f t="shared" si="17"/>
        <v>1</v>
      </c>
      <c r="K60" s="90">
        <f t="shared" si="17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204</v>
      </c>
      <c r="C61" s="90">
        <f t="shared" si="15"/>
        <v>1</v>
      </c>
      <c r="D61" s="90">
        <f t="shared" si="15"/>
        <v>1</v>
      </c>
      <c r="E61" s="90">
        <v>0.44</v>
      </c>
      <c r="F61" s="90">
        <v>0.44</v>
      </c>
      <c r="G61" s="90">
        <f t="shared" ref="G61:O61" si="18">IF(G15=1,1,G15*1.05)</f>
        <v>1</v>
      </c>
      <c r="H61" s="90">
        <f t="shared" si="18"/>
        <v>1</v>
      </c>
      <c r="I61" s="90">
        <f t="shared" si="18"/>
        <v>1</v>
      </c>
      <c r="J61" s="90">
        <f t="shared" si="18"/>
        <v>1</v>
      </c>
      <c r="K61" s="90">
        <f t="shared" si="18"/>
        <v>1</v>
      </c>
      <c r="L61" s="90">
        <f t="shared" si="18"/>
        <v>1</v>
      </c>
      <c r="M61" s="90">
        <f t="shared" si="18"/>
        <v>1</v>
      </c>
      <c r="N61" s="90">
        <f t="shared" si="18"/>
        <v>1</v>
      </c>
      <c r="O61" s="90">
        <f t="shared" si="18"/>
        <v>1</v>
      </c>
    </row>
    <row r="63" spans="1:15" ht="13" customHeight="1" x14ac:dyDescent="0.3">
      <c r="A63" s="4" t="s">
        <v>325</v>
      </c>
      <c r="B63" s="11"/>
    </row>
    <row r="64" spans="1:15" x14ac:dyDescent="0.25">
      <c r="B64" s="5" t="s">
        <v>171</v>
      </c>
      <c r="C64" s="90">
        <f t="shared" ref="C64:O64" si="19">IF(C18=1,1,C18*1.05)</f>
        <v>1</v>
      </c>
      <c r="D64" s="90">
        <f t="shared" si="19"/>
        <v>1</v>
      </c>
      <c r="E64" s="90">
        <f t="shared" si="19"/>
        <v>1</v>
      </c>
      <c r="F64" s="90">
        <f t="shared" si="19"/>
        <v>1</v>
      </c>
      <c r="G64" s="90">
        <f t="shared" si="19"/>
        <v>1</v>
      </c>
      <c r="H64" s="90">
        <f t="shared" si="19"/>
        <v>1</v>
      </c>
      <c r="I64" s="90">
        <f t="shared" si="19"/>
        <v>1</v>
      </c>
      <c r="J64" s="90">
        <f t="shared" si="19"/>
        <v>1</v>
      </c>
      <c r="K64" s="90">
        <f t="shared" si="19"/>
        <v>1</v>
      </c>
      <c r="L64" s="90">
        <f t="shared" si="19"/>
        <v>1</v>
      </c>
      <c r="M64" s="90">
        <f t="shared" si="19"/>
        <v>1</v>
      </c>
      <c r="N64" s="90">
        <f t="shared" si="19"/>
        <v>1</v>
      </c>
      <c r="O64" s="90">
        <f t="shared" si="19"/>
        <v>1</v>
      </c>
    </row>
    <row r="65" spans="2:15" x14ac:dyDescent="0.25">
      <c r="B65" s="5" t="s">
        <v>172</v>
      </c>
      <c r="C65" s="90">
        <f t="shared" ref="C65:D67" si="20">IF(C19=1,1,C19*1.05)</f>
        <v>1</v>
      </c>
      <c r="D65" s="90">
        <f t="shared" si="20"/>
        <v>1</v>
      </c>
      <c r="E65" s="90">
        <f>IF(ISBLANK('Distribución estado nutricional'!E$14),0.97,(0.97*'Distribución estado nutricional'!E$14/(1-0.97*'Distribución estado nutricional'!E$14))
/ ('Distribución estado nutricional'!E$14/(1-'Distribución estado nutricional'!E$14)))</f>
        <v>0.96115522349111249</v>
      </c>
      <c r="F65" s="90">
        <f>IF(ISBLANK('Distribución estado nutricional'!F$14),0.97,(0.97*'Distribución estado nutricional'!F$14/(1-0.97*'Distribución estado nutricional'!F$14))
/ ('Distribución estado nutricional'!F$14/(1-'Distribución estado nutricional'!F$14)))</f>
        <v>0.96171010468303442</v>
      </c>
      <c r="G65" s="90">
        <f>IF(ISBLANK('Distribución estado nutricional'!G$14),0.97,(0.97*'Distribución estado nutricional'!G$14/(1-0.97*'Distribución estado nutricional'!G$14))
/ ('Distribución estado nutricional'!G$14/(1-'Distribución estado nutricional'!G$14)))</f>
        <v>0.96171010468303442</v>
      </c>
      <c r="H65" s="90">
        <f>IF(ISBLANK('Distribución estado nutricional'!H$14),0.97,(0.97*'Distribución estado nutricional'!H$14/(1-0.97*'Distribución estado nutricional'!H$14))
/ ('Distribución estado nutricional'!H$14/(1-'Distribución estado nutricional'!H$14)))</f>
        <v>0.95497658782566941</v>
      </c>
      <c r="I65" s="90">
        <f>IF(ISBLANK('Distribución estado nutricional'!I$14),0.97,(0.97*'Distribución estado nutricional'!I$14/(1-0.97*'Distribución estado nutricional'!I$14))
/ ('Distribución estado nutricional'!I$14/(1-'Distribución estado nutricional'!I$14)))</f>
        <v>0.95497658782566941</v>
      </c>
      <c r="J65" s="90">
        <f>IF(ISBLANK('Distribución estado nutricional'!J$14),0.97,(0.97*'Distribución estado nutricional'!J$14/(1-0.97*'Distribución estado nutricional'!J$14))
/ ('Distribución estado nutricional'!J$14/(1-'Distribución estado nutricional'!J$14)))</f>
        <v>0.95497658782566941</v>
      </c>
      <c r="K65" s="90">
        <f>IF(ISBLANK('Distribución estado nutricional'!K$14),0.97,(0.97*'Distribución estado nutricional'!K$14/(1-0.97*'Distribución estado nutricional'!K$14))
/ ('Distribución estado nutricional'!K$14/(1-'Distribución estado nutricional'!K$14)))</f>
        <v>0.95497658782566941</v>
      </c>
      <c r="L65" s="90">
        <f>IF(ISBLANK('Distribución estado nutricional'!L$14),0.97,(0.97*'Distribución estado nutricional'!L$14/(1-0.97*'Distribución estado nutricional'!L$14))
/ ('Distribución estado nutricional'!L$14/(1-'Distribución estado nutricional'!L$14)))</f>
        <v>0.95727773742897437</v>
      </c>
      <c r="M65" s="90">
        <f>IF(ISBLANK('Distribución estado nutricional'!M$14),0.97,(0.97*'Distribución estado nutricional'!M$14/(1-0.97*'Distribución estado nutricional'!M$14))
/ ('Distribución estado nutricional'!M$14/(1-'Distribución estado nutricional'!M$14)))</f>
        <v>0.95727773742897437</v>
      </c>
      <c r="N65" s="90">
        <f>IF(ISBLANK('Distribución estado nutricional'!N$14),0.97,(0.97*'Distribución estado nutricional'!N$14/(1-0.97*'Distribución estado nutricional'!N$14))
/ ('Distribución estado nutricional'!N$14/(1-'Distribución estado nutricional'!N$14)))</f>
        <v>0.95727773742897437</v>
      </c>
      <c r="O65" s="90">
        <f>IF(ISBLANK('Distribución estado nutricional'!O$14),0.97,(0.97*'Distribución estado nutricional'!O$14/(1-0.97*'Distribución estado nutricional'!O$14))
/ ('Distribución estado nutricional'!O$14/(1-'Distribución estado nutricional'!O$14)))</f>
        <v>0.95727773742897437</v>
      </c>
    </row>
    <row r="66" spans="2:15" x14ac:dyDescent="0.25">
      <c r="B66" s="5" t="s">
        <v>173</v>
      </c>
      <c r="C66" s="90">
        <f t="shared" si="20"/>
        <v>1</v>
      </c>
      <c r="D66" s="90">
        <f t="shared" si="20"/>
        <v>1</v>
      </c>
      <c r="E66" s="90">
        <f t="shared" ref="E66:O66" si="21">IF(E20=1,1,E20*1.05)</f>
        <v>1</v>
      </c>
      <c r="F66" s="90">
        <f t="shared" si="21"/>
        <v>1</v>
      </c>
      <c r="G66" s="90">
        <f t="shared" si="21"/>
        <v>1</v>
      </c>
      <c r="H66" s="90">
        <f t="shared" si="21"/>
        <v>1</v>
      </c>
      <c r="I66" s="90">
        <f t="shared" si="21"/>
        <v>1</v>
      </c>
      <c r="J66" s="90">
        <f t="shared" si="21"/>
        <v>1</v>
      </c>
      <c r="K66" s="90">
        <f t="shared" si="21"/>
        <v>1</v>
      </c>
      <c r="L66" s="90">
        <f t="shared" si="21"/>
        <v>1</v>
      </c>
      <c r="M66" s="90">
        <f t="shared" si="21"/>
        <v>1</v>
      </c>
      <c r="N66" s="90">
        <f t="shared" si="21"/>
        <v>1</v>
      </c>
      <c r="O66" s="90">
        <f t="shared" si="21"/>
        <v>1</v>
      </c>
    </row>
    <row r="67" spans="2:15" x14ac:dyDescent="0.25">
      <c r="B67" s="5" t="s">
        <v>181</v>
      </c>
      <c r="C67" s="90">
        <f t="shared" si="20"/>
        <v>1</v>
      </c>
      <c r="D67" s="90">
        <f t="shared" si="20"/>
        <v>1</v>
      </c>
      <c r="E67" s="90">
        <f>IF(ISBLANK('Distribución estado nutricional'!E$14),0.92,(0.92*'Distribución estado nutricional'!E$14/(1-0.92*'Distribución estado nutricional'!E$14))
/ ('Distribución estado nutricional'!E$14/(1-'Distribución estado nutricional'!E$14)))</f>
        <v>0.89796458301957027</v>
      </c>
      <c r="F67" s="90">
        <f>IF(ISBLANK('Distribución estado nutricional'!F$14),0.92,(0.92*'Distribución estado nutricional'!F$14/(1-0.92*'Distribución estado nutricional'!F$14))
/ ('Distribución estado nutricional'!F$14/(1-'Distribución estado nutricional'!F$14)))</f>
        <v>0.89932757107417427</v>
      </c>
      <c r="G67" s="90">
        <f>IF(ISBLANK('Distribución estado nutricional'!G$14),0.92,(0.92*'Distribución estado nutricional'!G$14/(1-0.92*'Distribución estado nutricional'!G$14))
/ ('Distribución estado nutricional'!G$14/(1-'Distribución estado nutricional'!G$14)))</f>
        <v>0.89932757107417427</v>
      </c>
      <c r="H67" s="90">
        <f>IF(ISBLANK('Distribución estado nutricional'!H$14),0.92,(0.92*'Distribución estado nutricional'!H$14/(1-0.92*'Distribución estado nutricional'!H$14))
/ ('Distribución estado nutricional'!H$14/(1-'Distribución estado nutricional'!H$14)))</f>
        <v>0.88295880149812733</v>
      </c>
      <c r="I67" s="90">
        <f>IF(ISBLANK('Distribución estado nutricional'!I$14),0.92,(0.92*'Distribución estado nutricional'!I$14/(1-0.92*'Distribución estado nutricional'!I$14))
/ ('Distribución estado nutricional'!I$14/(1-'Distribución estado nutricional'!I$14)))</f>
        <v>0.88295880149812733</v>
      </c>
      <c r="J67" s="90">
        <f>IF(ISBLANK('Distribución estado nutricional'!J$14),0.92,(0.92*'Distribución estado nutricional'!J$14/(1-0.92*'Distribución estado nutricional'!J$14))
/ ('Distribución estado nutricional'!J$14/(1-'Distribución estado nutricional'!J$14)))</f>
        <v>0.88295880149812733</v>
      </c>
      <c r="K67" s="90">
        <f>IF(ISBLANK('Distribución estado nutricional'!K$14),0.92,(0.92*'Distribución estado nutricional'!K$14/(1-0.92*'Distribución estado nutricional'!K$14))
/ ('Distribución estado nutricional'!K$14/(1-'Distribución estado nutricional'!K$14)))</f>
        <v>0.88295880149812733</v>
      </c>
      <c r="L67" s="90">
        <f>IF(ISBLANK('Distribución estado nutricional'!L$14),0.92,(0.92*'Distribución estado nutricional'!L$14/(1-0.92*'Distribución estado nutricional'!L$14))
/ ('Distribución estado nutricional'!L$14/(1-'Distribución estado nutricional'!L$14)))</f>
        <v>0.88851106527677159</v>
      </c>
      <c r="M67" s="90">
        <f>IF(ISBLANK('Distribución estado nutricional'!M$14),0.92,(0.92*'Distribución estado nutricional'!M$14/(1-0.92*'Distribución estado nutricional'!M$14))
/ ('Distribución estado nutricional'!M$14/(1-'Distribución estado nutricional'!M$14)))</f>
        <v>0.88851106527677159</v>
      </c>
      <c r="N67" s="90">
        <f>IF(ISBLANK('Distribución estado nutricional'!N$14),0.92,(0.92*'Distribución estado nutricional'!N$14/(1-0.92*'Distribución estado nutricional'!N$14))
/ ('Distribución estado nutricional'!N$14/(1-'Distribución estado nutricional'!N$14)))</f>
        <v>0.88851106527677159</v>
      </c>
      <c r="O67" s="90">
        <f>IF(ISBLANK('Distribución estado nutricional'!O$14),0.92,(0.92*'Distribución estado nutricional'!O$14/(1-0.92*'Distribución estado nutricional'!O$14))
/ ('Distribución estado nutricional'!O$14/(1-'Distribución estado nutricional'!O$14)))</f>
        <v>0.88851106527677159</v>
      </c>
    </row>
  </sheetData>
  <sheetProtection algorithmName="SHA-512" hashValue="K9DKVG3mmodWFTbkqKr8Vy7jEybfKxqUE3/pP/8+BC1k2aSmFIRb6B+Ifk3bmo8AVYi9Ffv3T6QT0cWN9Ucalg==" saltValue="oF4S09vP49NBYdcn3K6Pc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ht="13" customHeight="1" x14ac:dyDescent="0.3">
      <c r="A2" s="4" t="s">
        <v>333</v>
      </c>
    </row>
    <row r="3" spans="1:7" ht="13.25" customHeight="1" x14ac:dyDescent="0.25">
      <c r="B3" s="11" t="s">
        <v>164</v>
      </c>
      <c r="C3" s="90">
        <v>1</v>
      </c>
      <c r="D3" s="90">
        <f>IF(ISBLANK('Distribución estado nutricional'!D$11),(1/1.33),((1/1.33)*'Distribución estado nutricional'!D$11/(1-(1/1.33)*'Distribución estado nutricional'!D$11))
/ ('Distribución estado nutricional'!D$11/(1-'Distribución estado nutricional'!D$11)))</f>
        <v>0.74777181179047192</v>
      </c>
      <c r="E3" s="90" t="e">
        <f>IF(ISBLANK('Distribución estado nutricional'!E$11),(1/1.33),((1/1.33)*'Distribución estado nutricional'!E$11/(1-(1/1.33)*'Distribución estado nutricional'!E$11))
/ ('Distribución estado nutricional'!E$11/(1-'Distribución estado nutricional'!E$11)))</f>
        <v>#DIV/0!</v>
      </c>
      <c r="F3" s="90">
        <f>IF(ISBLANK('Distribución estado nutricional'!F$11),(1/1.33),((1/1.33)*'Distribución estado nutricional'!F$11/(1-(1/1.33)*'Distribución estado nutricional'!F$11))
/ ('Distribución estado nutricional'!F$11/(1-'Distribución estado nutricional'!F$11)))</f>
        <v>0.75013218815531091</v>
      </c>
      <c r="G3" s="90">
        <f>IF(ISBLANK('Distribución estado nutricional'!G$11),(1/1.33),((1/1.33)*'Distribución estado nutricional'!G$11/(1-(1/1.33)*'Distribución estado nutricional'!G$11))
/ ('Distribución estado nutricional'!G$11/(1-'Distribución estado nutricional'!G$11)))</f>
        <v>0.75159181119099494</v>
      </c>
    </row>
    <row r="4" spans="1:7" ht="13" customHeight="1" x14ac:dyDescent="0.3">
      <c r="A4" s="4" t="s">
        <v>330</v>
      </c>
      <c r="B4" s="11"/>
      <c r="C4" s="83"/>
      <c r="D4" s="83"/>
      <c r="E4" s="83"/>
      <c r="F4" s="83"/>
      <c r="G4" s="83"/>
    </row>
    <row r="5" spans="1:7" ht="13.25" customHeight="1" x14ac:dyDescent="0.25">
      <c r="B5" s="5" t="s">
        <v>162</v>
      </c>
      <c r="C5" s="90">
        <v>1</v>
      </c>
      <c r="D5" s="90">
        <f>IF(ISBLANK('Distribución estado nutricional'!D$10),(1/1.33),((1/1.33)*'Distribución estado nutricional'!D$10/(1-(1/1.33)*'Distribución estado nutricional'!D$10))
/ ('Distribución estado nutricional'!D$10/(1-'Distribución estado nutricional'!D$10)))</f>
        <v>0.73876918870924346</v>
      </c>
      <c r="E5" s="90">
        <f>IF(ISBLANK('Distribución estado nutricional'!E$10),(1/1.33),((1/1.33)*'Distribución estado nutricional'!E$10/(1-(1/1.33)*'Distribución estado nutricional'!E$10))
/ ('Distribución estado nutricional'!E$10/(1-'Distribución estado nutricional'!E$10)))</f>
        <v>0.74714177432840578</v>
      </c>
      <c r="F5" s="90">
        <f>IF(ISBLANK('Distribución estado nutricional'!F$10),(1/1.33),((1/1.33)*'Distribución estado nutricional'!F$10/(1-(1/1.33)*'Distribución estado nutricional'!F$10))
/ ('Distribución estado nutricional'!F$10/(1-'Distribución estado nutricional'!F$10)))</f>
        <v>0.75010612368192531</v>
      </c>
      <c r="G5" s="90">
        <f>IF(ISBLANK('Distribución estado nutricional'!G$10),(1/1.33),((1/1.33)*'Distribución estado nutricional'!G$10/(1-(1/1.33)*'Distribución estado nutricional'!G$10))
/ ('Distribución estado nutricional'!G$10/(1-'Distribución estado nutricional'!G$10)))</f>
        <v>0.75058874746763826</v>
      </c>
    </row>
    <row r="7" spans="1:7" s="92" customFormat="1" ht="13" customHeight="1" x14ac:dyDescent="0.3">
      <c r="A7" s="92" t="s">
        <v>329</v>
      </c>
    </row>
    <row r="8" spans="1:7" ht="13" customHeight="1" x14ac:dyDescent="0.3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ht="13" customHeight="1" x14ac:dyDescent="0.3">
      <c r="A9" s="4" t="s">
        <v>334</v>
      </c>
    </row>
    <row r="10" spans="1:7" ht="13.25" customHeight="1" x14ac:dyDescent="0.25">
      <c r="B10" s="11" t="s">
        <v>164</v>
      </c>
      <c r="C10" s="90">
        <v>1</v>
      </c>
      <c r="D10" s="90">
        <f>IF(ISBLANK('Distribución estado nutricional'!D$11),(1/1.54),((1/1.54)*'Distribución estado nutricional'!D$11/(1-(1/1.54)*'Distribución estado nutricional'!D$11))
/ ('Distribución estado nutricional'!D$11/(1-'Distribución estado nutricional'!D$11)))</f>
        <v>0.64434822164103167</v>
      </c>
      <c r="E10" s="90" t="e">
        <f>IF(ISBLANK('Distribución estado nutricional'!E$11),(1/1.54),((1/1.54)*'Distribución estado nutricional'!E$11/(1-(1/1.54)*'Distribución estado nutricional'!E$11))
/ ('Distribución estado nutricional'!E$11/(1-'Distribución estado nutricional'!E$11)))</f>
        <v>#DIV/0!</v>
      </c>
      <c r="F10" s="90">
        <f>IF(ISBLANK('Distribución estado nutricional'!F$11),(1/1.54),((1/1.54)*'Distribución estado nutricional'!F$11/(1-(1/1.54)*'Distribución estado nutricional'!F$11))
/ ('Distribución estado nutricional'!F$11/(1-'Distribución estado nutricional'!F$11)))</f>
        <v>0.64721983947333683</v>
      </c>
      <c r="G10" s="90">
        <f>IF(ISBLANK('Distribución estado nutricional'!G$11),(1/1.54),((1/1.54)*'Distribución estado nutricional'!G$11/(1-(1/1.54)*'Distribución estado nutricional'!G$11))
/ ('Distribución estado nutricional'!G$11/(1-'Distribución estado nutricional'!G$11)))</f>
        <v>0.64899933442551794</v>
      </c>
    </row>
    <row r="11" spans="1:7" ht="13" customHeight="1" x14ac:dyDescent="0.3">
      <c r="A11" s="4" t="s">
        <v>331</v>
      </c>
      <c r="B11" s="11"/>
      <c r="C11" s="83"/>
      <c r="D11" s="83"/>
      <c r="E11" s="83"/>
      <c r="F11" s="83"/>
      <c r="G11" s="83"/>
    </row>
    <row r="12" spans="1:7" ht="13.25" customHeight="1" x14ac:dyDescent="0.25">
      <c r="B12" s="5" t="s">
        <v>162</v>
      </c>
      <c r="C12" s="90">
        <v>1</v>
      </c>
      <c r="D12" s="90">
        <f>IF(ISBLANK('Distribución estado nutricional'!D$10),(1/1.54),((1/1.54)*'Distribución estado nutricional'!D$10/(1-(1/1.54)*'Distribución estado nutricional'!D$10))
/ ('Distribución estado nutricional'!D$10/(1-'Distribución estado nutricional'!D$10)))</f>
        <v>0.6334636003697619</v>
      </c>
      <c r="E12" s="90">
        <f>IF(ISBLANK('Distribución estado nutricional'!E$10),(1/1.54),((1/1.54)*'Distribución estado nutricional'!E$10/(1-(1/1.54)*'Distribución estado nutricional'!E$10))
/ ('Distribución estado nutricional'!E$10/(1-'Distribución estado nutricional'!E$10)))</f>
        <v>0.64358297881329773</v>
      </c>
      <c r="F12" s="90">
        <f>IF(ISBLANK('Distribución estado nutricional'!F$10),(1/1.54),((1/1.54)*'Distribución estado nutricional'!F$10/(1-(1/1.54)*'Distribución estado nutricional'!F$10))
/ ('Distribución estado nutricional'!F$10/(1-'Distribución estado nutricional'!F$10)))</f>
        <v>0.64718808897109614</v>
      </c>
      <c r="G12" s="90">
        <f>IF(ISBLANK('Distribución estado nutricional'!G$10),(1/1.54),((1/1.54)*'Distribución estado nutricional'!G$10/(1-(1/1.54)*'Distribución estado nutricional'!G$10))
/ ('Distribución estado nutricional'!G$10/(1-'Distribución estado nutricional'!G$10)))</f>
        <v>0.64777614573347431</v>
      </c>
    </row>
    <row r="14" spans="1:7" s="92" customFormat="1" ht="13" customHeight="1" x14ac:dyDescent="0.3">
      <c r="A14" s="92" t="s">
        <v>336</v>
      </c>
    </row>
    <row r="15" spans="1:7" ht="13" customHeight="1" x14ac:dyDescent="0.3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ht="13" customHeight="1" x14ac:dyDescent="0.3">
      <c r="A16" s="4" t="s">
        <v>335</v>
      </c>
    </row>
    <row r="17" spans="1:7" ht="13.25" customHeight="1" x14ac:dyDescent="0.25">
      <c r="B17" s="11" t="s">
        <v>164</v>
      </c>
      <c r="C17" s="90">
        <v>1</v>
      </c>
      <c r="D17" s="90">
        <f>IF(ISBLANK('Distribución estado nutricional'!D$11),(1/1.16),((1/1.16)*'Distribución estado nutricional'!D$11/(1-(1/1.16)*'Distribución estado nutricional'!D$11))
/ ('Distribución estado nutricional'!D$11/(1-'Distribución estado nutricional'!D$11)))</f>
        <v>0.85944434270801473</v>
      </c>
      <c r="E17" s="90" t="e">
        <f>IF(ISBLANK('Distribución estado nutricional'!E$11),(1/1.16),((1/1.16)*'Distribución estado nutricional'!E$11/(1-(1/1.16)*'Distribución estado nutricional'!E$11))
/ ('Distribución estado nutricional'!E$11/(1-'Distribución estado nutricional'!E$11)))</f>
        <v>#DIV/0!</v>
      </c>
      <c r="F17" s="90">
        <f>IF(ISBLANK('Distribución estado nutricional'!F$11),(1/1.16),((1/1.16)*'Distribución estado nutricional'!F$11/(1-(1/1.16)*'Distribución estado nutricional'!F$11))
/ ('Distribución estado nutricional'!F$11/(1-'Distribución estado nutricional'!F$11)))</f>
        <v>0.86095399911196913</v>
      </c>
      <c r="G17" s="90">
        <f>IF(ISBLANK('Distribución estado nutricional'!G$11),(1/1.16),((1/1.16)*'Distribución estado nutricional'!G$11/(1-(1/1.16)*'Distribución estado nutricional'!G$11))
/ ('Distribución estado nutricional'!G$11/(1-'Distribución estado nutricional'!G$11)))</f>
        <v>0.86188544236973907</v>
      </c>
    </row>
    <row r="18" spans="1:7" ht="13" customHeight="1" x14ac:dyDescent="0.3">
      <c r="A18" s="4" t="s">
        <v>332</v>
      </c>
      <c r="B18" s="11"/>
      <c r="C18" s="83"/>
      <c r="D18" s="83"/>
      <c r="E18" s="83"/>
      <c r="F18" s="83"/>
      <c r="G18" s="83"/>
    </row>
    <row r="19" spans="1:7" ht="13.25" customHeight="1" x14ac:dyDescent="0.25">
      <c r="B19" s="5" t="s">
        <v>162</v>
      </c>
      <c r="C19" s="90">
        <v>1</v>
      </c>
      <c r="D19" s="90">
        <f>IF(ISBLANK('Distribución estado nutricional'!D$10),(1/1.16),((1/1.16)*'Distribución estado nutricional'!D$10/(1-(1/1.16)*'Distribución estado nutricional'!D$10))
/ ('Distribución estado nutricional'!D$10/(1-'Distribución estado nutricional'!D$10)))</f>
        <v>0.85364747269125885</v>
      </c>
      <c r="E19" s="90">
        <f>IF(ISBLANK('Distribución estado nutricional'!E$10),(1/1.16),((1/1.16)*'Distribución estado nutricional'!E$10/(1-(1/1.16)*'Distribución estado nutricional'!E$10))
/ ('Distribución estado nutricional'!E$10/(1-'Distribución estado nutricional'!E$10)))</f>
        <v>0.85904066776904109</v>
      </c>
      <c r="F19" s="90">
        <f>IF(ISBLANK('Distribución estado nutricional'!F$10),(1/1.16),((1/1.16)*'Distribución estado nutricional'!F$10/(1-(1/1.16)*'Distribución estado nutricional'!F$10))
/ ('Distribución estado nutricional'!F$10/(1-'Distribución estado nutricional'!F$10)))</f>
        <v>0.86093735172852537</v>
      </c>
      <c r="G19" s="90">
        <f>IF(ISBLANK('Distribución estado nutricional'!G$10),(1/1.16),((1/1.16)*'Distribución estado nutricional'!G$10/(1-(1/1.16)*'Distribución estado nutricional'!G$10))
/ ('Distribución estado nutricional'!G$10/(1-'Distribución estado nutricional'!G$10)))</f>
        <v>0.8612455204315197</v>
      </c>
    </row>
  </sheetData>
  <sheetProtection algorithmName="SHA-512" hashValue="ft7ORmGpRKz4PopRwjpS5LpO8Q296UD5ot7/IFPgX6s7p8s8jIG9/5aW6DX/lW1YFHZtn3+lYJAh5pBmsiasZg==" saltValue="8EsaTOsiYfIIC11gUX6ch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80" zoomScaleNormal="80" workbookViewId="0">
      <selection activeCell="E28" sqref="E28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ht="13.25" customHeight="1" x14ac:dyDescent="0.25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ht="13.25" customHeight="1" x14ac:dyDescent="0.25">
      <c r="C3" s="5" t="s">
        <v>339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ht="13.25" customHeight="1" x14ac:dyDescent="0.25">
      <c r="C4" s="5" t="s">
        <v>338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ht="13.25" customHeight="1" x14ac:dyDescent="0.25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ht="13.25" customHeight="1" x14ac:dyDescent="0.25">
      <c r="C6" s="5" t="s">
        <v>338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ht="13.25" customHeight="1" x14ac:dyDescent="0.25">
      <c r="B7" s="5" t="s">
        <v>6</v>
      </c>
      <c r="C7" s="5" t="s">
        <v>337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ht="13.25" customHeight="1" x14ac:dyDescent="0.25">
      <c r="C8" s="5" t="s">
        <v>338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ht="13.25" customHeight="1" x14ac:dyDescent="0.25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ht="13.25" customHeight="1" x14ac:dyDescent="0.25">
      <c r="C10" s="5" t="s">
        <v>338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ht="13.25" customHeight="1" x14ac:dyDescent="0.25">
      <c r="B11" s="5" t="s">
        <v>6</v>
      </c>
      <c r="C11" s="5" t="s">
        <v>337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ht="13.25" customHeight="1" x14ac:dyDescent="0.25">
      <c r="C12" s="5" t="s">
        <v>338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ht="13.25" customHeight="1" x14ac:dyDescent="0.25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ht="13.25" customHeight="1" x14ac:dyDescent="0.25">
      <c r="C14" s="5" t="s">
        <v>338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ht="13.25" customHeight="1" x14ac:dyDescent="0.25">
      <c r="B15" s="5" t="s">
        <v>6</v>
      </c>
      <c r="C15" s="5" t="s">
        <v>337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ht="13.25" customHeight="1" x14ac:dyDescent="0.25">
      <c r="C16" s="5" t="s">
        <v>338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ht="13.25" customHeight="1" x14ac:dyDescent="0.25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ht="13.25" customHeight="1" x14ac:dyDescent="0.25">
      <c r="C18" s="5" t="s">
        <v>338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ht="13.25" customHeight="1" x14ac:dyDescent="0.25">
      <c r="B19" s="5" t="s">
        <v>6</v>
      </c>
      <c r="C19" s="5" t="s">
        <v>337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ht="13.25" customHeight="1" x14ac:dyDescent="0.25">
      <c r="C20" s="5" t="s">
        <v>338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ht="13.25" customHeight="1" x14ac:dyDescent="0.25">
      <c r="A21" s="5" t="s">
        <v>173</v>
      </c>
      <c r="B21" s="5" t="s">
        <v>92</v>
      </c>
      <c r="C21" s="5" t="s">
        <v>337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ht="13.25" customHeight="1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ht="13.25" customHeight="1" x14ac:dyDescent="0.25">
      <c r="A23" s="5" t="s">
        <v>171</v>
      </c>
      <c r="B23" s="5" t="s">
        <v>92</v>
      </c>
      <c r="C23" s="5" t="s">
        <v>337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ht="13.25" customHeight="1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ht="13.25" customHeight="1" x14ac:dyDescent="0.25">
      <c r="A25" s="5" t="s">
        <v>172</v>
      </c>
      <c r="B25" s="5" t="s">
        <v>92</v>
      </c>
      <c r="C25" s="5" t="s">
        <v>337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ht="13.25" customHeight="1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ht="13.25" customHeight="1" x14ac:dyDescent="0.25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ht="13.25" customHeight="1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ht="13.25" customHeight="1" x14ac:dyDescent="0.25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ht="13.25" customHeight="1" x14ac:dyDescent="0.25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ht="13.25" customHeight="1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ht="13.25" customHeight="1" x14ac:dyDescent="0.25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ht="13.25" customHeight="1" x14ac:dyDescent="0.25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ht="13.25" customHeight="1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ht="13.25" customHeight="1" x14ac:dyDescent="0.25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ht="13.25" customHeight="1" x14ac:dyDescent="0.25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ht="13.25" customHeight="1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ht="13.25" customHeight="1" x14ac:dyDescent="0.25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ht="13.25" customHeight="1" x14ac:dyDescent="0.25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ht="13.25" customHeight="1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ht="13.25" customHeight="1" x14ac:dyDescent="0.25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ht="13.25" customHeight="1" x14ac:dyDescent="0.25">
      <c r="A42" s="5" t="s">
        <v>203</v>
      </c>
      <c r="B42" s="5" t="s">
        <v>84</v>
      </c>
      <c r="C42" s="5" t="s">
        <v>337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ht="13.25" customHeight="1" x14ac:dyDescent="0.25">
      <c r="C43" s="5" t="s">
        <v>339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ht="13.25" customHeight="1" x14ac:dyDescent="0.25">
      <c r="C44" s="5" t="s">
        <v>338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ht="13.25" customHeight="1" x14ac:dyDescent="0.25">
      <c r="B45" s="5" t="s">
        <v>102</v>
      </c>
      <c r="C45" s="5" t="s">
        <v>337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ht="13.25" customHeight="1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ht="13.25" customHeight="1" x14ac:dyDescent="0.25">
      <c r="C47" s="5" t="s">
        <v>338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ht="13.25" customHeight="1" x14ac:dyDescent="0.25">
      <c r="A48" s="5" t="s">
        <v>192</v>
      </c>
      <c r="B48" s="5" t="s">
        <v>84</v>
      </c>
      <c r="C48" s="5" t="s">
        <v>337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ht="13.25" customHeight="1" x14ac:dyDescent="0.25">
      <c r="C49" s="5" t="s">
        <v>339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ht="13.25" customHeight="1" x14ac:dyDescent="0.25">
      <c r="A50" s="5" t="s">
        <v>202</v>
      </c>
      <c r="B50" s="5" t="s">
        <v>84</v>
      </c>
      <c r="C50" s="5" t="s">
        <v>337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ht="13.25" customHeight="1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ht="13.25" customHeight="1" x14ac:dyDescent="0.25">
      <c r="A52" s="5" t="s">
        <v>182</v>
      </c>
      <c r="B52" s="5" t="s">
        <v>96</v>
      </c>
      <c r="C52" s="5" t="s">
        <v>337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ht="13.25" customHeight="1" x14ac:dyDescent="0.25">
      <c r="C53" s="5" t="s">
        <v>339</v>
      </c>
      <c r="D53" s="90">
        <v>0.51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329</v>
      </c>
      <c r="B55" s="97"/>
      <c r="C55" s="97"/>
    </row>
    <row r="56" spans="1:8" ht="13" customHeight="1" x14ac:dyDescent="0.3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ht="13.25" customHeight="1" x14ac:dyDescent="0.25">
      <c r="A57" s="5" t="s">
        <v>196</v>
      </c>
      <c r="B57" s="5" t="s">
        <v>84</v>
      </c>
      <c r="C57" s="5" t="s">
        <v>337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ht="13.25" customHeight="1" x14ac:dyDescent="0.25">
      <c r="C58" s="5" t="s">
        <v>339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ht="13.25" customHeight="1" x14ac:dyDescent="0.25">
      <c r="C59" s="5" t="s">
        <v>338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ht="13.25" customHeight="1" x14ac:dyDescent="0.25">
      <c r="A60" s="5" t="s">
        <v>193</v>
      </c>
      <c r="B60" s="5" t="s">
        <v>207</v>
      </c>
      <c r="C60" s="5" t="s">
        <v>337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ht="13.25" customHeight="1" x14ac:dyDescent="0.25">
      <c r="C61" s="5" t="s">
        <v>338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ht="13.25" customHeight="1" x14ac:dyDescent="0.25">
      <c r="B62" s="5" t="s">
        <v>6</v>
      </c>
      <c r="C62" s="5" t="s">
        <v>337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ht="13.25" customHeight="1" x14ac:dyDescent="0.25">
      <c r="C63" s="5" t="s">
        <v>338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ht="13.25" customHeight="1" x14ac:dyDescent="0.25">
      <c r="A64" s="5" t="s">
        <v>184</v>
      </c>
      <c r="B64" s="5" t="s">
        <v>207</v>
      </c>
      <c r="C64" s="5" t="s">
        <v>337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ht="13.25" customHeight="1" x14ac:dyDescent="0.25">
      <c r="C65" s="5" t="s">
        <v>338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ht="13.25" customHeight="1" x14ac:dyDescent="0.25">
      <c r="B66" s="5" t="s">
        <v>6</v>
      </c>
      <c r="C66" s="5" t="s">
        <v>337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ht="13.25" customHeight="1" x14ac:dyDescent="0.25">
      <c r="C67" s="5" t="s">
        <v>338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ht="13.25" customHeight="1" x14ac:dyDescent="0.25">
      <c r="A68" s="5" t="s">
        <v>204</v>
      </c>
      <c r="B68" s="5" t="s">
        <v>207</v>
      </c>
      <c r="C68" s="5" t="s">
        <v>337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ht="13.25" customHeight="1" x14ac:dyDescent="0.25">
      <c r="C69" s="5" t="s">
        <v>338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ht="13.25" customHeight="1" x14ac:dyDescent="0.25">
      <c r="B70" s="5" t="s">
        <v>6</v>
      </c>
      <c r="C70" s="5" t="s">
        <v>337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ht="13.25" customHeight="1" x14ac:dyDescent="0.25">
      <c r="C71" s="5" t="s">
        <v>338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ht="13.25" customHeight="1" x14ac:dyDescent="0.25">
      <c r="A72" s="5" t="s">
        <v>167</v>
      </c>
      <c r="B72" s="5" t="s">
        <v>207</v>
      </c>
      <c r="C72" s="5" t="s">
        <v>337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ht="13.25" customHeight="1" x14ac:dyDescent="0.25">
      <c r="C73" s="5" t="s">
        <v>338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6</v>
      </c>
      <c r="C74" s="5" t="s">
        <v>337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338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173</v>
      </c>
      <c r="B76" s="5" t="s">
        <v>92</v>
      </c>
      <c r="C76" s="5" t="s">
        <v>337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171</v>
      </c>
      <c r="B78" s="5" t="s">
        <v>92</v>
      </c>
      <c r="C78" s="5" t="s">
        <v>337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339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172</v>
      </c>
      <c r="B80" s="5" t="s">
        <v>92</v>
      </c>
      <c r="C80" s="5" t="s">
        <v>337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339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200</v>
      </c>
      <c r="B82" s="5" t="s">
        <v>84</v>
      </c>
      <c r="C82" s="5" t="s">
        <v>337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339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338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201</v>
      </c>
      <c r="B85" s="5" t="s">
        <v>84</v>
      </c>
      <c r="C85" s="5" t="s">
        <v>337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339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338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199</v>
      </c>
      <c r="B88" s="5" t="s">
        <v>84</v>
      </c>
      <c r="C88" s="5" t="s">
        <v>337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339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338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198</v>
      </c>
      <c r="B91" s="5" t="s">
        <v>84</v>
      </c>
      <c r="C91" s="5" t="s">
        <v>337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339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338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197</v>
      </c>
      <c r="B94" s="5" t="s">
        <v>84</v>
      </c>
      <c r="C94" s="5" t="s">
        <v>337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339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338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203</v>
      </c>
      <c r="B97" s="5" t="s">
        <v>84</v>
      </c>
      <c r="C97" s="5" t="s">
        <v>337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339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338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102</v>
      </c>
      <c r="C100" s="5" t="s">
        <v>337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339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338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192</v>
      </c>
      <c r="B103" s="5" t="s">
        <v>84</v>
      </c>
      <c r="C103" s="5" t="s">
        <v>337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339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202</v>
      </c>
      <c r="B105" s="5" t="s">
        <v>84</v>
      </c>
      <c r="C105" s="5" t="s">
        <v>337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339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182</v>
      </c>
      <c r="B107" s="5" t="s">
        <v>96</v>
      </c>
      <c r="C107" s="5" t="s">
        <v>337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339</v>
      </c>
      <c r="D108" s="90">
        <v>0.18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336</v>
      </c>
      <c r="B110" s="97"/>
      <c r="C110" s="97"/>
    </row>
    <row r="111" spans="1:8" ht="13" customHeight="1" x14ac:dyDescent="0.3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5">
      <c r="A112" s="5" t="s">
        <v>196</v>
      </c>
      <c r="B112" s="5" t="s">
        <v>84</v>
      </c>
      <c r="C112" s="5" t="s">
        <v>337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339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338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193</v>
      </c>
      <c r="B115" s="5" t="s">
        <v>207</v>
      </c>
      <c r="C115" s="5" t="s">
        <v>337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338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6</v>
      </c>
      <c r="C117" s="5" t="s">
        <v>337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338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184</v>
      </c>
      <c r="B119" s="5" t="s">
        <v>207</v>
      </c>
      <c r="C119" s="5" t="s">
        <v>337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338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6</v>
      </c>
      <c r="C121" s="5" t="s">
        <v>337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338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204</v>
      </c>
      <c r="B123" s="5" t="s">
        <v>207</v>
      </c>
      <c r="C123" s="5" t="s">
        <v>337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338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6</v>
      </c>
      <c r="C125" s="5" t="s">
        <v>337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338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167</v>
      </c>
      <c r="B127" s="5" t="s">
        <v>207</v>
      </c>
      <c r="C127" s="5" t="s">
        <v>337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338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6</v>
      </c>
      <c r="C129" s="5" t="s">
        <v>337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338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173</v>
      </c>
      <c r="B131" s="5" t="s">
        <v>92</v>
      </c>
      <c r="C131" s="5" t="s">
        <v>337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339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171</v>
      </c>
      <c r="B133" s="5" t="s">
        <v>92</v>
      </c>
      <c r="C133" s="5" t="s">
        <v>337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339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172</v>
      </c>
      <c r="B135" s="5" t="s">
        <v>92</v>
      </c>
      <c r="C135" s="5" t="s">
        <v>337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339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200</v>
      </c>
      <c r="B137" s="5" t="s">
        <v>84</v>
      </c>
      <c r="C137" s="5" t="s">
        <v>337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339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338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201</v>
      </c>
      <c r="B140" s="5" t="s">
        <v>84</v>
      </c>
      <c r="C140" s="5" t="s">
        <v>337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339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338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199</v>
      </c>
      <c r="B143" s="5" t="s">
        <v>84</v>
      </c>
      <c r="C143" s="5" t="s">
        <v>337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339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338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198</v>
      </c>
      <c r="B146" s="5" t="s">
        <v>84</v>
      </c>
      <c r="C146" s="5" t="s">
        <v>337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339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338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197</v>
      </c>
      <c r="B149" s="5" t="s">
        <v>84</v>
      </c>
      <c r="C149" s="5" t="s">
        <v>337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339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338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203</v>
      </c>
      <c r="B152" s="5" t="s">
        <v>84</v>
      </c>
      <c r="C152" s="5" t="s">
        <v>337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339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338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102</v>
      </c>
      <c r="C155" s="5" t="s">
        <v>337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339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338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192</v>
      </c>
      <c r="B158" s="5" t="s">
        <v>84</v>
      </c>
      <c r="C158" s="5" t="s">
        <v>337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339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202</v>
      </c>
      <c r="B160" s="5" t="s">
        <v>84</v>
      </c>
      <c r="C160" s="5" t="s">
        <v>337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339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182</v>
      </c>
      <c r="B162" s="5" t="s">
        <v>96</v>
      </c>
      <c r="C162" s="5" t="s">
        <v>337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339</v>
      </c>
      <c r="D163" s="90">
        <v>0.71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IkVBWC+x+GW2bBk0yy08L0UgppdEcBx7C/kp4bRWy1cjuWBPnApAmQba+j/KMHg+ZnafeSIm1ewEnQkmcQczpQ==" saltValue="6shXrk9IkUt5sxJwBXy00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D2" sqref="D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ht="13.25" customHeight="1" x14ac:dyDescent="0.25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ht="13.25" customHeight="1" x14ac:dyDescent="0.25">
      <c r="C3" s="8" t="s">
        <v>339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ht="13.25" customHeight="1" x14ac:dyDescent="0.25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ht="13.25" customHeight="1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ht="13.25" customHeight="1" x14ac:dyDescent="0.25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ht="13.25" customHeight="1" x14ac:dyDescent="0.25">
      <c r="C7" s="8" t="s">
        <v>339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329</v>
      </c>
    </row>
    <row r="10" spans="1:8" ht="13" customHeight="1" x14ac:dyDescent="0.3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ht="13.25" customHeight="1" x14ac:dyDescent="0.25">
      <c r="A11" s="3" t="s">
        <v>166</v>
      </c>
      <c r="B11" s="8" t="s">
        <v>86</v>
      </c>
      <c r="C11" s="3" t="s">
        <v>337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ht="13.25" customHeight="1" x14ac:dyDescent="0.25">
      <c r="C12" s="8" t="s">
        <v>339</v>
      </c>
      <c r="D12" s="90">
        <v>0</v>
      </c>
      <c r="E12" s="90">
        <v>0</v>
      </c>
      <c r="F12" s="90">
        <v>0</v>
      </c>
      <c r="G12" s="90">
        <v>0</v>
      </c>
    </row>
    <row r="13" spans="1:8" ht="13.25" customHeight="1" x14ac:dyDescent="0.25">
      <c r="A13" s="3" t="s">
        <v>189</v>
      </c>
      <c r="B13" s="8" t="s">
        <v>86</v>
      </c>
      <c r="C13" s="3" t="s">
        <v>337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ht="13.25" customHeight="1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ht="13.25" customHeight="1" x14ac:dyDescent="0.25">
      <c r="A15" s="3" t="s">
        <v>188</v>
      </c>
      <c r="B15" s="8" t="s">
        <v>86</v>
      </c>
      <c r="C15" s="3" t="s">
        <v>337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ht="13.25" customHeight="1" x14ac:dyDescent="0.25">
      <c r="C16" s="8" t="s">
        <v>339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336</v>
      </c>
    </row>
    <row r="19" spans="1:7" ht="13" customHeight="1" x14ac:dyDescent="0.3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ht="13.25" customHeight="1" x14ac:dyDescent="0.25">
      <c r="A20" s="3" t="s">
        <v>166</v>
      </c>
      <c r="B20" s="8" t="s">
        <v>86</v>
      </c>
      <c r="C20" s="3" t="s">
        <v>337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ht="13.25" customHeight="1" x14ac:dyDescent="0.25">
      <c r="C21" s="8" t="s">
        <v>339</v>
      </c>
      <c r="D21" s="90">
        <v>0.98</v>
      </c>
      <c r="E21" s="90">
        <v>0.98</v>
      </c>
      <c r="F21" s="90">
        <v>0.98</v>
      </c>
      <c r="G21" s="90">
        <v>0.98</v>
      </c>
    </row>
    <row r="22" spans="1:7" ht="13.25" customHeight="1" x14ac:dyDescent="0.25">
      <c r="A22" s="3" t="s">
        <v>189</v>
      </c>
      <c r="B22" s="8" t="s">
        <v>86</v>
      </c>
      <c r="C22" s="3" t="s">
        <v>337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ht="13.25" customHeight="1" x14ac:dyDescent="0.25">
      <c r="C23" s="8" t="s">
        <v>339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ht="13.25" customHeight="1" x14ac:dyDescent="0.25">
      <c r="A24" s="3" t="s">
        <v>188</v>
      </c>
      <c r="B24" s="8" t="s">
        <v>86</v>
      </c>
      <c r="C24" s="3" t="s">
        <v>337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ht="13.25" customHeight="1" x14ac:dyDescent="0.25">
      <c r="C25" s="8" t="s">
        <v>339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RRdgVMGsYoLhYtV1EN6fsFtUBctPxmZiOGLMNBHPCBAtaecaODnmUNdn9g/9vCXtBLbWMiYuYBTQ4ExnOWfLuQ==" saltValue="s0xx1wRo3mI1L/sQNnrKFQ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3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5">
      <c r="B3" s="19" t="s">
        <v>93</v>
      </c>
      <c r="C3" s="55">
        <v>0</v>
      </c>
    </row>
    <row r="4" spans="1:8" ht="15.75" customHeight="1" x14ac:dyDescent="0.25">
      <c r="B4" s="19" t="s">
        <v>97</v>
      </c>
      <c r="C4" s="101">
        <v>6.5780787918312059E-2</v>
      </c>
    </row>
    <row r="5" spans="1:8" ht="15.75" customHeight="1" x14ac:dyDescent="0.25">
      <c r="B5" s="19" t="s">
        <v>95</v>
      </c>
      <c r="C5" s="101">
        <v>1.324948228162641E-2</v>
      </c>
    </row>
    <row r="6" spans="1:8" ht="15.75" customHeight="1" x14ac:dyDescent="0.25">
      <c r="B6" s="19" t="s">
        <v>91</v>
      </c>
      <c r="C6" s="101">
        <v>7.7491190228652154E-2</v>
      </c>
    </row>
    <row r="7" spans="1:8" ht="15.75" customHeight="1" x14ac:dyDescent="0.25">
      <c r="B7" s="19" t="s">
        <v>96</v>
      </c>
      <c r="C7" s="101">
        <v>0.40754536158370702</v>
      </c>
    </row>
    <row r="8" spans="1:8" ht="15.75" customHeight="1" x14ac:dyDescent="0.25">
      <c r="B8" s="19" t="s">
        <v>98</v>
      </c>
      <c r="C8" s="101">
        <v>0</v>
      </c>
    </row>
    <row r="9" spans="1:8" ht="15.75" customHeight="1" x14ac:dyDescent="0.25">
      <c r="B9" s="19" t="s">
        <v>92</v>
      </c>
      <c r="C9" s="101">
        <v>0.30498340206693358</v>
      </c>
    </row>
    <row r="10" spans="1:8" ht="15.75" customHeight="1" x14ac:dyDescent="0.25">
      <c r="B10" s="19" t="s">
        <v>94</v>
      </c>
      <c r="C10" s="101">
        <v>0.13094977592076881</v>
      </c>
    </row>
    <row r="11" spans="1:8" ht="15.75" customHeight="1" x14ac:dyDescent="0.25">
      <c r="B11" s="27" t="s">
        <v>60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83</v>
      </c>
      <c r="B13" s="29" t="s">
        <v>82</v>
      </c>
      <c r="C13" s="102" t="s">
        <v>74</v>
      </c>
      <c r="D13" s="102" t="s">
        <v>77</v>
      </c>
      <c r="E13" s="102" t="s">
        <v>75</v>
      </c>
      <c r="F13" s="102" t="s">
        <v>76</v>
      </c>
      <c r="G13" s="19"/>
    </row>
    <row r="14" spans="1:8" ht="15.75" customHeight="1" x14ac:dyDescent="0.25">
      <c r="B14" s="19" t="s">
        <v>84</v>
      </c>
      <c r="C14" s="55">
        <v>1.8973157017512472E-2</v>
      </c>
      <c r="D14" s="55">
        <v>1.8973157017512472E-2</v>
      </c>
      <c r="E14" s="55">
        <v>1.8973157017512472E-2</v>
      </c>
      <c r="F14" s="55">
        <v>1.8973157017512472E-2</v>
      </c>
    </row>
    <row r="15" spans="1:8" ht="15.75" customHeight="1" x14ac:dyDescent="0.25">
      <c r="B15" s="19" t="s">
        <v>102</v>
      </c>
      <c r="C15" s="101">
        <v>7.1740472660633589E-2</v>
      </c>
      <c r="D15" s="101">
        <v>7.1740472660633589E-2</v>
      </c>
      <c r="E15" s="101">
        <v>7.1740472660633589E-2</v>
      </c>
      <c r="F15" s="101">
        <v>7.1740472660633589E-2</v>
      </c>
    </row>
    <row r="16" spans="1:8" ht="15.75" customHeight="1" x14ac:dyDescent="0.25">
      <c r="B16" s="19" t="s">
        <v>2</v>
      </c>
      <c r="C16" s="101">
        <v>9.228266138645299E-3</v>
      </c>
      <c r="D16" s="101">
        <v>9.228266138645299E-3</v>
      </c>
      <c r="E16" s="101">
        <v>9.228266138645299E-3</v>
      </c>
      <c r="F16" s="101">
        <v>9.228266138645299E-3</v>
      </c>
    </row>
    <row r="17" spans="1:8" ht="15.75" customHeight="1" x14ac:dyDescent="0.25">
      <c r="B17" s="19" t="s">
        <v>90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3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101</v>
      </c>
      <c r="C19" s="101">
        <v>0</v>
      </c>
      <c r="D19" s="101">
        <v>0</v>
      </c>
      <c r="E19" s="101">
        <v>0</v>
      </c>
      <c r="F19" s="101">
        <v>0</v>
      </c>
    </row>
    <row r="20" spans="1:8" ht="15.75" customHeight="1" x14ac:dyDescent="0.25">
      <c r="B20" s="19" t="s">
        <v>79</v>
      </c>
      <c r="C20" s="101">
        <v>0</v>
      </c>
      <c r="D20" s="101">
        <v>0</v>
      </c>
      <c r="E20" s="101">
        <v>0</v>
      </c>
      <c r="F20" s="101">
        <v>0</v>
      </c>
    </row>
    <row r="21" spans="1:8" ht="15.75" customHeight="1" x14ac:dyDescent="0.25">
      <c r="B21" s="19" t="s">
        <v>88</v>
      </c>
      <c r="C21" s="101">
        <v>9.5464713926239064E-2</v>
      </c>
      <c r="D21" s="101">
        <v>9.5464713926239064E-2</v>
      </c>
      <c r="E21" s="101">
        <v>9.5464713926239064E-2</v>
      </c>
      <c r="F21" s="101">
        <v>9.5464713926239064E-2</v>
      </c>
    </row>
    <row r="22" spans="1:8" ht="15.75" customHeight="1" x14ac:dyDescent="0.25">
      <c r="B22" s="19" t="s">
        <v>99</v>
      </c>
      <c r="C22" s="101">
        <v>0.80459339025696952</v>
      </c>
      <c r="D22" s="101">
        <v>0.80459339025696952</v>
      </c>
      <c r="E22" s="101">
        <v>0.80459339025696952</v>
      </c>
      <c r="F22" s="101">
        <v>0.80459339025696952</v>
      </c>
    </row>
    <row r="23" spans="1:8" ht="15.75" customHeight="1" x14ac:dyDescent="0.25">
      <c r="B23" s="27" t="s">
        <v>60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5">
      <c r="B26" s="19" t="s">
        <v>81</v>
      </c>
      <c r="C26" s="55">
        <v>3.9700850000000003E-2</v>
      </c>
    </row>
    <row r="27" spans="1:8" ht="15.75" customHeight="1" x14ac:dyDescent="0.25">
      <c r="B27" s="19" t="s">
        <v>89</v>
      </c>
      <c r="C27" s="101">
        <v>2.3007410999999998E-2</v>
      </c>
    </row>
    <row r="28" spans="1:8" ht="15.75" customHeight="1" x14ac:dyDescent="0.25">
      <c r="B28" s="19" t="s">
        <v>103</v>
      </c>
      <c r="C28" s="101">
        <v>0.18789456399999999</v>
      </c>
    </row>
    <row r="29" spans="1:8" ht="15.75" customHeight="1" x14ac:dyDescent="0.25">
      <c r="B29" s="19" t="s">
        <v>86</v>
      </c>
      <c r="C29" s="101">
        <v>0.14356665699999999</v>
      </c>
    </row>
    <row r="30" spans="1:8" ht="15.75" customHeight="1" x14ac:dyDescent="0.25">
      <c r="B30" s="19" t="s">
        <v>4</v>
      </c>
      <c r="C30" s="101">
        <v>5.2092121999999998E-2</v>
      </c>
    </row>
    <row r="31" spans="1:8" ht="15.75" customHeight="1" x14ac:dyDescent="0.25">
      <c r="B31" s="19" t="s">
        <v>80</v>
      </c>
      <c r="C31" s="101">
        <v>2.4076997999999999E-2</v>
      </c>
    </row>
    <row r="32" spans="1:8" ht="15.75" customHeight="1" x14ac:dyDescent="0.25">
      <c r="B32" s="19" t="s">
        <v>85</v>
      </c>
      <c r="C32" s="101">
        <v>8.5285021000000003E-2</v>
      </c>
    </row>
    <row r="33" spans="2:3" ht="15.75" customHeight="1" x14ac:dyDescent="0.25">
      <c r="B33" s="19" t="s">
        <v>100</v>
      </c>
      <c r="C33" s="101">
        <v>0.223807599</v>
      </c>
    </row>
    <row r="34" spans="2:3" ht="15.75" customHeight="1" x14ac:dyDescent="0.25">
      <c r="B34" s="19" t="s">
        <v>87</v>
      </c>
      <c r="C34" s="101">
        <v>0.22056877799999999</v>
      </c>
    </row>
    <row r="35" spans="2:3" ht="15.75" customHeight="1" x14ac:dyDescent="0.25">
      <c r="B35" s="27" t="s">
        <v>60</v>
      </c>
      <c r="C35" s="48">
        <f>SUM(C26:C34)</f>
        <v>1</v>
      </c>
    </row>
  </sheetData>
  <sheetProtection algorithmName="SHA-512" hashValue="KIaEZJ7aF32PkHWzx4RcBRGMxX1VVxRsdldlW7cxiZstxjZeeC/GL17IAAtmwuDU3RWAopB/PHHv7FJMpPw1cg==" saltValue="Dm34s2ObGCogaTf9l+0p7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5">
      <c r="A2" s="3" t="s">
        <v>121</v>
      </c>
      <c r="B2" s="5" t="s">
        <v>111</v>
      </c>
      <c r="C2" s="52">
        <f>IFERROR(1-_xlfn.NORM.DIST(_xlfn.NORM.INV(SUM(C4:C5), 0, 1) + 1, 0, 1, TRUE), "")</f>
        <v>0.54900253810195621</v>
      </c>
      <c r="D2" s="52">
        <f>IFERROR(1-_xlfn.NORM.DIST(_xlfn.NORM.INV(SUM(D4:D5), 0, 1) + 1, 0, 1, TRUE), "")</f>
        <v>0.54900253810195621</v>
      </c>
      <c r="E2" s="52">
        <f>IFERROR(1-_xlfn.NORM.DIST(_xlfn.NORM.INV(SUM(E4:E5), 0, 1) + 1, 0, 1, TRUE), "")</f>
        <v>0.73365039545316124</v>
      </c>
      <c r="F2" s="52">
        <f>IFERROR(1-_xlfn.NORM.DIST(_xlfn.NORM.INV(SUM(F4:F5), 0, 1) + 1, 0, 1, TRUE), "")</f>
        <v>0.61490870815438781</v>
      </c>
      <c r="G2" s="52">
        <f>IFERROR(1-_xlfn.NORM.DIST(_xlfn.NORM.INV(SUM(G4:G5), 0, 1) + 1, 0, 1, TRUE), "")</f>
        <v>0.5979591492284243</v>
      </c>
    </row>
    <row r="3" spans="1:15" ht="15.75" customHeight="1" x14ac:dyDescent="0.25">
      <c r="B3" s="5" t="s">
        <v>108</v>
      </c>
      <c r="C3" s="52">
        <f>IFERROR(_xlfn.NORM.DIST(_xlfn.NORM.INV(SUM(C4:C5), 0, 1) + 1, 0, 1, TRUE) - SUM(C4:C5), "")</f>
        <v>0.32030879389804379</v>
      </c>
      <c r="D3" s="52">
        <f>IFERROR(_xlfn.NORM.DIST(_xlfn.NORM.INV(SUM(D4:D5), 0, 1) + 1, 0, 1, TRUE) - SUM(D4:D5), "")</f>
        <v>0.32030879389804379</v>
      </c>
      <c r="E3" s="52">
        <f>IFERROR(_xlfn.NORM.DIST(_xlfn.NORM.INV(SUM(E4:E5), 0, 1) + 1, 0, 1, TRUE) - SUM(E4:E5), "")</f>
        <v>0.21415006154683869</v>
      </c>
      <c r="F3" s="52">
        <f>IFERROR(_xlfn.NORM.DIST(_xlfn.NORM.INV(SUM(F4:F5), 0, 1) + 1, 0, 1, TRUE) - SUM(F4:F5), "")</f>
        <v>0.28693627984561221</v>
      </c>
      <c r="G3" s="52">
        <f>IFERROR(_xlfn.NORM.DIST(_xlfn.NORM.INV(SUM(G4:G5), 0, 1) + 1, 0, 1, TRUE) - SUM(G4:G5), "")</f>
        <v>0.29603779477157571</v>
      </c>
    </row>
    <row r="4" spans="1:15" ht="15.75" customHeight="1" x14ac:dyDescent="0.25">
      <c r="B4" s="5" t="s">
        <v>110</v>
      </c>
      <c r="C4" s="45">
        <v>6.1346827E-2</v>
      </c>
      <c r="D4" s="53">
        <v>6.1346827E-2</v>
      </c>
      <c r="E4" s="53">
        <v>4.1452804000000003E-2</v>
      </c>
      <c r="F4" s="53">
        <v>6.262425399999999E-2</v>
      </c>
      <c r="G4" s="53">
        <v>6.9781623000000001E-2</v>
      </c>
    </row>
    <row r="5" spans="1:15" ht="15.75" customHeight="1" x14ac:dyDescent="0.25">
      <c r="B5" s="5" t="s">
        <v>106</v>
      </c>
      <c r="C5" s="45">
        <v>6.9341841000000001E-2</v>
      </c>
      <c r="D5" s="53">
        <v>6.9341841000000001E-2</v>
      </c>
      <c r="E5" s="53">
        <v>1.0746739E-2</v>
      </c>
      <c r="F5" s="53">
        <v>3.5530758000000003E-2</v>
      </c>
      <c r="G5" s="53">
        <v>3.6221432999999997E-2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122</v>
      </c>
      <c r="B8" s="5" t="s">
        <v>112</v>
      </c>
      <c r="C8" s="52">
        <f>IFERROR(1-_xlfn.NORM.DIST(_xlfn.NORM.INV(SUM(C10:C11), 0, 1) + 1, 0, 1, TRUE), "")</f>
        <v>0.63705946454588847</v>
      </c>
      <c r="D8" s="52">
        <f>IFERROR(1-_xlfn.NORM.DIST(_xlfn.NORM.INV(SUM(D10:D11), 0, 1) + 1, 0, 1, TRUE), "")</f>
        <v>0.63705946454588847</v>
      </c>
      <c r="E8" s="52">
        <f>IFERROR(1-_xlfn.NORM.DIST(_xlfn.NORM.INV(SUM(E10:E11), 0, 1) + 1, 0, 1, TRUE), "")</f>
        <v>0.83180439497187475</v>
      </c>
      <c r="F8" s="52">
        <f>IFERROR(1-_xlfn.NORM.DIST(_xlfn.NORM.INV(SUM(F10:F11), 0, 1) + 1, 0, 1, TRUE), "")</f>
        <v>0.8600340937545069</v>
      </c>
      <c r="G8" s="52">
        <f>IFERROR(1-_xlfn.NORM.DIST(_xlfn.NORM.INV(SUM(G10:G11), 0, 1) + 1, 0, 1, TRUE), "")</f>
        <v>0.91772716951429534</v>
      </c>
    </row>
    <row r="9" spans="1:15" ht="15.75" customHeight="1" x14ac:dyDescent="0.25">
      <c r="B9" s="5" t="s">
        <v>109</v>
      </c>
      <c r="C9" s="52">
        <f>IFERROR(_xlfn.NORM.DIST(_xlfn.NORM.INV(SUM(C10:C11), 0, 1) + 1, 0, 1, TRUE) - SUM(C10:C11), "")</f>
        <v>0.27453031245411152</v>
      </c>
      <c r="D9" s="52">
        <f>IFERROR(_xlfn.NORM.DIST(_xlfn.NORM.INV(SUM(D10:D11), 0, 1) + 1, 0, 1, TRUE) - SUM(D10:D11), "")</f>
        <v>0.27453031245411152</v>
      </c>
      <c r="E9" s="52">
        <f>IFERROR(_xlfn.NORM.DIST(_xlfn.NORM.INV(SUM(E10:E11), 0, 1) + 1, 0, 1, TRUE) - SUM(E10:E11), "")</f>
        <v>0.14327476202812525</v>
      </c>
      <c r="F9" s="52">
        <f>IFERROR(_xlfn.NORM.DIST(_xlfn.NORM.INV(SUM(F10:F11), 0, 1) + 1, 0, 1, TRUE) - SUM(F10:F11), "")</f>
        <v>0.12122479994549312</v>
      </c>
      <c r="G9" s="52">
        <f>IFERROR(_xlfn.NORM.DIST(_xlfn.NORM.INV(SUM(G10:G11), 0, 1) + 1, 0, 1, TRUE) - SUM(G10:G11), "")</f>
        <v>7.3847376285704619E-2</v>
      </c>
    </row>
    <row r="10" spans="1:15" ht="15.75" customHeight="1" x14ac:dyDescent="0.25">
      <c r="B10" s="5" t="s">
        <v>107</v>
      </c>
      <c r="C10" s="45">
        <v>6.6749320000000001E-2</v>
      </c>
      <c r="D10" s="53">
        <v>6.6749320000000001E-2</v>
      </c>
      <c r="E10" s="53">
        <v>2.4920843000000002E-2</v>
      </c>
      <c r="F10" s="53">
        <v>9.4394290000000009E-3</v>
      </c>
      <c r="G10" s="53">
        <v>6.8840754000000001E-3</v>
      </c>
    </row>
    <row r="11" spans="1:15" ht="15.75" customHeight="1" x14ac:dyDescent="0.25">
      <c r="B11" s="5" t="s">
        <v>119</v>
      </c>
      <c r="C11" s="45">
        <v>2.1660902999999999E-2</v>
      </c>
      <c r="D11" s="53">
        <v>2.1660902999999999E-2</v>
      </c>
      <c r="E11" s="53">
        <v>0</v>
      </c>
      <c r="F11" s="53">
        <v>9.3016773000000001E-3</v>
      </c>
      <c r="G11" s="53">
        <v>1.5413788E-3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5">
      <c r="B14" s="11" t="s">
        <v>117</v>
      </c>
      <c r="C14" s="51">
        <v>0.22474285975</v>
      </c>
      <c r="D14" s="54">
        <v>0.234737514727</v>
      </c>
      <c r="E14" s="54">
        <v>0.234737514727</v>
      </c>
      <c r="F14" s="54">
        <v>0.223199456702</v>
      </c>
      <c r="G14" s="54">
        <v>0.223199456702</v>
      </c>
      <c r="H14" s="45">
        <v>0.34399999999999997</v>
      </c>
      <c r="I14" s="55">
        <v>0.34399999999999997</v>
      </c>
      <c r="J14" s="55">
        <v>0.34399999999999997</v>
      </c>
      <c r="K14" s="55">
        <v>0.34399999999999997</v>
      </c>
      <c r="L14" s="45">
        <v>0.307</v>
      </c>
      <c r="M14" s="55">
        <v>0.307</v>
      </c>
      <c r="N14" s="55">
        <v>0.307</v>
      </c>
      <c r="O14" s="55">
        <v>0.307</v>
      </c>
    </row>
    <row r="15" spans="1:15" ht="15.75" customHeight="1" x14ac:dyDescent="0.25">
      <c r="B15" s="11" t="s">
        <v>118</v>
      </c>
      <c r="C15" s="52">
        <f t="shared" ref="C15:O15" si="0">iron_deficiency_anaemia*C14</f>
        <v>0.13419643372818227</v>
      </c>
      <c r="D15" s="52">
        <f t="shared" si="0"/>
        <v>0.14016435215615372</v>
      </c>
      <c r="E15" s="52">
        <f t="shared" si="0"/>
        <v>0.14016435215615372</v>
      </c>
      <c r="F15" s="52">
        <f t="shared" si="0"/>
        <v>0.13327485079078794</v>
      </c>
      <c r="G15" s="52">
        <f t="shared" si="0"/>
        <v>0.13327485079078794</v>
      </c>
      <c r="H15" s="52">
        <f t="shared" si="0"/>
        <v>0.20540618399999999</v>
      </c>
      <c r="I15" s="52">
        <f t="shared" si="0"/>
        <v>0.20540618399999999</v>
      </c>
      <c r="J15" s="52">
        <f t="shared" si="0"/>
        <v>0.20540618399999999</v>
      </c>
      <c r="K15" s="52">
        <f t="shared" si="0"/>
        <v>0.20540618399999999</v>
      </c>
      <c r="L15" s="52">
        <f t="shared" si="0"/>
        <v>0.18331307700000002</v>
      </c>
      <c r="M15" s="52">
        <f t="shared" si="0"/>
        <v>0.18331307700000002</v>
      </c>
      <c r="N15" s="52">
        <f t="shared" si="0"/>
        <v>0.18331307700000002</v>
      </c>
      <c r="O15" s="52">
        <f t="shared" si="0"/>
        <v>0.18331307700000002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WkLZonn8z6ofy37z9qtyWLo7ijrj1b6e2XWU2Kincwa1W69IG1S8I4u0/gM0LiGIYS0AJcWAaUbslGtmPQqLYg==" saltValue="9Gp1xd28jbq2OeZ8ihRVW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5">
      <c r="A2" s="3" t="s">
        <v>123</v>
      </c>
      <c r="B2" s="3" t="s">
        <v>124</v>
      </c>
      <c r="C2" s="45">
        <v>0.59449800000000008</v>
      </c>
      <c r="D2" s="53">
        <v>0.29309990000000002</v>
      </c>
      <c r="E2" s="53"/>
      <c r="F2" s="53"/>
      <c r="G2" s="53"/>
    </row>
    <row r="3" spans="1:7" x14ac:dyDescent="0.25">
      <c r="B3" s="3" t="s">
        <v>127</v>
      </c>
      <c r="C3" s="53">
        <v>9.7630759999999997E-2</v>
      </c>
      <c r="D3" s="53">
        <v>0.23736940000000001</v>
      </c>
      <c r="E3" s="53"/>
      <c r="F3" s="53"/>
      <c r="G3" s="53"/>
    </row>
    <row r="4" spans="1:7" x14ac:dyDescent="0.25">
      <c r="B4" s="3" t="s">
        <v>126</v>
      </c>
      <c r="C4" s="53">
        <v>0.25931979999999999</v>
      </c>
      <c r="D4" s="53">
        <v>0.4031151</v>
      </c>
      <c r="E4" s="53">
        <v>0.74230986833572399</v>
      </c>
      <c r="F4" s="53">
        <v>0.37930190563201899</v>
      </c>
      <c r="G4" s="53"/>
    </row>
    <row r="5" spans="1:7" x14ac:dyDescent="0.25">
      <c r="B5" s="3" t="s">
        <v>125</v>
      </c>
      <c r="C5" s="52">
        <v>4.8551450000000003E-2</v>
      </c>
      <c r="D5" s="52">
        <v>6.6415580000000002E-2</v>
      </c>
      <c r="E5" s="52">
        <f>1-SUM(E2:E4)</f>
        <v>0.25769013166427601</v>
      </c>
      <c r="F5" s="52">
        <f>1-SUM(F2:F4)</f>
        <v>0.62069809436798096</v>
      </c>
      <c r="G5" s="52">
        <f>1-SUM(G2:G4)</f>
        <v>1</v>
      </c>
    </row>
  </sheetData>
  <sheetProtection algorithmName="SHA-512" hashValue="d+6FPrFHGo+ra+rtDHJNlJYg8r9WiihW0zegCHALHu9m5YshJ1Gbr9vHIgqDL+GqIiTF8BFwbgZEjrX7Vv4RDA==" saltValue="V2Ftx9fditFbmLZPvI///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ht="13.25" customHeight="1" x14ac:dyDescent="0.25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ht="13.25" customHeight="1" x14ac:dyDescent="0.25">
      <c r="B3" s="9"/>
    </row>
    <row r="4" spans="1:11" ht="13.25" customHeight="1" x14ac:dyDescent="0.25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ht="13.25" customHeight="1" x14ac:dyDescent="0.25">
      <c r="B5" s="9"/>
    </row>
    <row r="6" spans="1:11" ht="13.25" customHeight="1" x14ac:dyDescent="0.25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ht="13.25" customHeight="1" x14ac:dyDescent="0.25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ht="13.25" customHeight="1" x14ac:dyDescent="0.25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ht="13.25" customHeight="1" x14ac:dyDescent="0.25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ht="13.25" customHeight="1" x14ac:dyDescent="0.25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ht="13.25" customHeight="1" x14ac:dyDescent="0.25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ht="13.25" customHeight="1" x14ac:dyDescent="0.25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MYgGWqvoezN9ZhmMrfPYKuBfcmF+1JYaHfs/5tV2pf+2pQkqFMmzOePtUC5ummljF6nnjiITH2MEDWBbuNgyzg==" saltValue="FE7WPqQwPUjn8IMH6i/nHg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147</v>
      </c>
      <c r="B1" s="4" t="s">
        <v>145</v>
      </c>
    </row>
    <row r="2" spans="1:2" ht="13.25" customHeight="1" x14ac:dyDescent="0.25">
      <c r="A2" s="8" t="s">
        <v>144</v>
      </c>
      <c r="B2" s="41">
        <v>10</v>
      </c>
    </row>
    <row r="3" spans="1:2" ht="13.25" customHeight="1" x14ac:dyDescent="0.25">
      <c r="A3" s="8" t="s">
        <v>143</v>
      </c>
      <c r="B3" s="41">
        <v>10</v>
      </c>
    </row>
    <row r="4" spans="1:2" ht="13.25" customHeight="1" x14ac:dyDescent="0.25">
      <c r="A4" s="8" t="s">
        <v>142</v>
      </c>
      <c r="B4" s="41">
        <v>10</v>
      </c>
    </row>
    <row r="5" spans="1:2" ht="13.25" customHeight="1" x14ac:dyDescent="0.25">
      <c r="A5" s="8" t="s">
        <v>146</v>
      </c>
      <c r="B5" s="41">
        <v>10</v>
      </c>
    </row>
    <row r="6" spans="1:2" ht="13.25" customHeight="1" x14ac:dyDescent="0.25">
      <c r="A6" s="8" t="s">
        <v>140</v>
      </c>
      <c r="B6" s="41">
        <v>10</v>
      </c>
    </row>
    <row r="7" spans="1:2" ht="13.25" customHeight="1" x14ac:dyDescent="0.25">
      <c r="A7" s="8" t="s">
        <v>141</v>
      </c>
      <c r="B7" s="41">
        <v>10</v>
      </c>
    </row>
  </sheetData>
  <sheetProtection algorithmName="SHA-512" hashValue="hgokTWEWdDF0U4yEK/uD2XxwrmudMFwHHlkIpy4XrAoS5sVGhCKkX5bbaR4ynR6ShhCP64QtlhS7qPB/A8JvvA==" saltValue="X/b8T1ScSxJqUYJtYPqaUA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ht="13" customHeight="1" x14ac:dyDescent="0.3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ht="13.25" customHeight="1" x14ac:dyDescent="0.25">
      <c r="B3" s="32" t="s">
        <v>78</v>
      </c>
      <c r="C3" s="47"/>
      <c r="D3" s="47" t="s">
        <v>5</v>
      </c>
      <c r="E3" s="38" t="str">
        <f>IF(E$7="","",E$7)</f>
        <v/>
      </c>
    </row>
    <row r="4" spans="1:5" ht="13.25" customHeight="1" x14ac:dyDescent="0.25">
      <c r="B4" s="32" t="s">
        <v>74</v>
      </c>
      <c r="C4" s="47"/>
      <c r="D4" s="47" t="s">
        <v>5</v>
      </c>
      <c r="E4" s="38" t="str">
        <f>IF(E$7="","",E$7)</f>
        <v/>
      </c>
    </row>
    <row r="5" spans="1:5" ht="13.25" customHeight="1" x14ac:dyDescent="0.25">
      <c r="B5" s="32" t="s">
        <v>77</v>
      </c>
      <c r="C5" s="47"/>
      <c r="D5" s="47"/>
      <c r="E5" s="38" t="str">
        <f>IF(E$7="","",E$7)</f>
        <v/>
      </c>
    </row>
    <row r="6" spans="1:5" ht="13.25" customHeight="1" x14ac:dyDescent="0.25">
      <c r="B6" s="32" t="s">
        <v>75</v>
      </c>
      <c r="C6" s="47"/>
      <c r="D6" s="47"/>
      <c r="E6" s="38" t="str">
        <f>IF(E$7="","",E$7)</f>
        <v/>
      </c>
    </row>
    <row r="7" spans="1:5" ht="13.25" customHeight="1" x14ac:dyDescent="0.25">
      <c r="B7" s="32" t="s">
        <v>148</v>
      </c>
      <c r="C7" s="31"/>
      <c r="D7" s="30"/>
      <c r="E7" s="47"/>
    </row>
    <row r="9" spans="1:5" ht="13" customHeight="1" x14ac:dyDescent="0.3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ht="13.25" customHeight="1" x14ac:dyDescent="0.25">
      <c r="B10" s="32" t="s">
        <v>78</v>
      </c>
      <c r="C10" s="47"/>
      <c r="D10" s="47"/>
      <c r="E10" s="38" t="str">
        <f>IF(E$7="","",E$7)</f>
        <v/>
      </c>
    </row>
    <row r="11" spans="1:5" ht="13.25" customHeight="1" x14ac:dyDescent="0.25">
      <c r="B11" s="32" t="s">
        <v>74</v>
      </c>
      <c r="C11" s="47"/>
      <c r="D11" s="47"/>
      <c r="E11" s="38" t="str">
        <f>IF(E$7="","",E$7)</f>
        <v/>
      </c>
    </row>
    <row r="12" spans="1:5" ht="13.25" customHeight="1" x14ac:dyDescent="0.25">
      <c r="B12" s="32" t="s">
        <v>77</v>
      </c>
      <c r="C12" s="47"/>
      <c r="D12" s="47" t="s">
        <v>5</v>
      </c>
      <c r="E12" s="38" t="str">
        <f>IF(E$7="","",E$7)</f>
        <v/>
      </c>
    </row>
    <row r="13" spans="1:5" ht="13.25" customHeight="1" x14ac:dyDescent="0.25">
      <c r="B13" s="32" t="s">
        <v>75</v>
      </c>
      <c r="C13" s="47"/>
      <c r="D13" s="47" t="s">
        <v>5</v>
      </c>
      <c r="E13" s="38" t="str">
        <f>IF(E$7="","",E$7)</f>
        <v/>
      </c>
    </row>
    <row r="14" spans="1:5" ht="13.25" customHeight="1" x14ac:dyDescent="0.25">
      <c r="B14" s="32" t="s">
        <v>148</v>
      </c>
      <c r="C14" s="31"/>
      <c r="D14" s="30"/>
      <c r="E14" s="47"/>
    </row>
    <row r="16" spans="1:5" ht="13" customHeight="1" x14ac:dyDescent="0.3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ht="13.25" customHeight="1" x14ac:dyDescent="0.25">
      <c r="B17" s="32" t="s">
        <v>78</v>
      </c>
      <c r="C17" s="47"/>
      <c r="D17" s="47" t="s">
        <v>5</v>
      </c>
      <c r="E17" s="38" t="str">
        <f>IF(E$7="","",E$7)</f>
        <v/>
      </c>
    </row>
    <row r="18" spans="2:5" ht="13.25" customHeight="1" x14ac:dyDescent="0.25">
      <c r="B18" s="32" t="s">
        <v>74</v>
      </c>
      <c r="C18" s="47"/>
      <c r="D18" s="47" t="s">
        <v>5</v>
      </c>
      <c r="E18" s="38" t="str">
        <f>IF(E$7="","",E$7)</f>
        <v/>
      </c>
    </row>
    <row r="19" spans="2:5" ht="13.25" customHeight="1" x14ac:dyDescent="0.25">
      <c r="B19" s="32" t="s">
        <v>77</v>
      </c>
      <c r="C19" s="47"/>
      <c r="D19" s="47" t="s">
        <v>5</v>
      </c>
      <c r="E19" s="38" t="str">
        <f>IF(E$7="","",E$7)</f>
        <v/>
      </c>
    </row>
    <row r="20" spans="2:5" ht="13.25" customHeight="1" x14ac:dyDescent="0.25">
      <c r="B20" s="32" t="s">
        <v>75</v>
      </c>
      <c r="C20" s="47"/>
      <c r="D20" s="47" t="s">
        <v>5</v>
      </c>
      <c r="E20" s="38" t="str">
        <f>IF(E$7="","",E$7)</f>
        <v/>
      </c>
    </row>
    <row r="21" spans="2:5" ht="13.25" customHeight="1" x14ac:dyDescent="0.25">
      <c r="B21" s="32" t="s">
        <v>148</v>
      </c>
      <c r="C21" s="31"/>
      <c r="D21" s="30"/>
      <c r="E21" s="47"/>
    </row>
  </sheetData>
  <sheetProtection algorithmName="SHA-512" hashValue="WE2/lWOEr20xG1Ynf4mKsxQPYwLNoJmhqDyPDuw0Co0HEA6MXiB/R8xLySDjyPLYeWtBIH+VucUMmO0bwDS5TQ==" saltValue="qnojr8o5Q9zTKlgjZjt0m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159</v>
      </c>
      <c r="C1" s="40" t="s">
        <v>161</v>
      </c>
      <c r="D1" s="40" t="s">
        <v>157</v>
      </c>
    </row>
    <row r="2" spans="1:4" ht="13" customHeight="1" x14ac:dyDescent="0.3">
      <c r="A2" s="40" t="s">
        <v>163</v>
      </c>
      <c r="B2" s="32" t="s">
        <v>164</v>
      </c>
      <c r="C2" s="32" t="s">
        <v>162</v>
      </c>
      <c r="D2" s="47"/>
    </row>
    <row r="3" spans="1:4" ht="13" customHeight="1" x14ac:dyDescent="0.3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M5YgOxc3nUhIO2+meDtlSr63Trss+LOyPXS3ssPDq96QC5x6kgLRKn+6W3O0SgGffnv+1CJgaLAlfj7e3GT/EA==" saltValue="m46x5iEHFeC8wNdbjdFJF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lang=es</cp:keywords>
  <cp:lastModifiedBy>Tharindu Wickramaarachchi</cp:lastModifiedBy>
  <dcterms:created xsi:type="dcterms:W3CDTF">2017-08-01T10:42:13Z</dcterms:created>
  <dcterms:modified xsi:type="dcterms:W3CDTF">2024-03-18T01:14:31Z</dcterms:modified>
</cp:coreProperties>
</file>