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Modeling\Nutrition\inputs\fr\LiST countries\"/>
    </mc:Choice>
  </mc:AlternateContent>
  <xr:revisionPtr revIDLastSave="0" documentId="8_{D65D9BD9-F2C1-4667-AC71-AC21C3604D8A}" xr6:coauthVersionLast="47" xr6:coauthVersionMax="47" xr10:uidLastSave="{00000000-0000-0000-0000-000000000000}"/>
  <bookViews>
    <workbookView xWindow="0" yWindow="3670" windowWidth="19200" windowHeight="653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F152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H152" i="27" s="1"/>
  <c r="G97" i="27"/>
  <c r="G152" i="27" s="1"/>
  <c r="F97" i="27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H38" i="2"/>
  <c r="G38" i="2"/>
  <c r="I38" i="2" s="1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H2" i="2"/>
  <c r="I2" i="2" s="1"/>
  <c r="G2" i="2"/>
  <c r="A2" i="2"/>
  <c r="A33" i="2" s="1"/>
  <c r="C33" i="1"/>
  <c r="C20" i="1"/>
  <c r="A18" i="2" l="1"/>
  <c r="A31" i="2"/>
  <c r="A39" i="2"/>
  <c r="A26" i="2"/>
  <c r="A34" i="2"/>
  <c r="A19" i="2"/>
  <c r="A27" i="2"/>
  <c r="A35" i="2"/>
  <c r="A20" i="2"/>
  <c r="A36" i="2"/>
  <c r="A28" i="2"/>
  <c r="A13" i="2"/>
  <c r="A21" i="2"/>
  <c r="A29" i="2"/>
  <c r="A37" i="2"/>
  <c r="A12" i="2"/>
  <c r="A14" i="2"/>
  <c r="A22" i="2"/>
  <c r="A30" i="2"/>
  <c r="A38" i="2"/>
  <c r="A40" i="2"/>
  <c r="A15" i="2"/>
  <c r="A23" i="2"/>
  <c r="A24" i="2"/>
  <c r="A3" i="2"/>
  <c r="A4" i="2" s="1"/>
  <c r="A5" i="2" s="1"/>
  <c r="A6" i="2" s="1"/>
  <c r="A7" i="2" s="1"/>
  <c r="A8" i="2" s="1"/>
  <c r="A9" i="2" s="1"/>
  <c r="A10" i="2" s="1"/>
  <c r="A11" i="2" s="1"/>
  <c r="A16" i="2"/>
  <c r="A32" i="2"/>
  <c r="A17" i="2"/>
  <c r="A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<sst xmlns="http://schemas.openxmlformats.org/spreadsheetml/2006/main" count="2092" uniqueCount="337">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</sst>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13</v>
      </c>
      <c r="B1" s="29" t="s">
        <v>0</v>
      </c>
      <c r="C1" s="29" t="s">
        <v>66</v>
      </c>
    </row>
    <row r="2" spans="1:3" ht="15.9" customHeight="1" x14ac:dyDescent="0.3">
      <c r="A2" s="8" t="s">
        <v>14</v>
      </c>
      <c r="B2" s="29"/>
      <c r="C2" s="29"/>
    </row>
    <row r="3" spans="1:3" ht="15.9" customHeight="1" x14ac:dyDescent="0.3">
      <c r="A3" s="1"/>
      <c r="B3" s="5" t="s">
        <v>15</v>
      </c>
      <c r="C3" s="41">
        <v>2021</v>
      </c>
    </row>
    <row r="4" spans="1:3" ht="15.9" customHeight="1" x14ac:dyDescent="0.3">
      <c r="A4" s="1"/>
      <c r="B4" s="5" t="s">
        <v>16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17</v>
      </c>
    </row>
    <row r="7" spans="1:3" ht="15" customHeight="1" x14ac:dyDescent="0.25">
      <c r="B7" s="11" t="s">
        <v>18</v>
      </c>
      <c r="C7" s="43">
        <v>139065.908203125</v>
      </c>
    </row>
    <row r="8" spans="1:3" ht="15" customHeight="1" x14ac:dyDescent="0.25">
      <c r="B8" s="5" t="s">
        <v>19</v>
      </c>
      <c r="C8" s="44">
        <v>1.7000000000000001E-2</v>
      </c>
    </row>
    <row r="9" spans="1:3" ht="15" customHeight="1" x14ac:dyDescent="0.25">
      <c r="B9" s="5" t="s">
        <v>20</v>
      </c>
      <c r="C9" s="45">
        <v>0.01</v>
      </c>
    </row>
    <row r="10" spans="1:3" ht="15" customHeight="1" x14ac:dyDescent="0.25">
      <c r="B10" s="5" t="s">
        <v>21</v>
      </c>
      <c r="C10" s="45">
        <v>0.86947998046874997</v>
      </c>
    </row>
    <row r="11" spans="1:3" ht="15" customHeight="1" x14ac:dyDescent="0.25">
      <c r="B11" s="5" t="s">
        <v>22</v>
      </c>
      <c r="C11" s="45">
        <v>0.66799999999999993</v>
      </c>
    </row>
    <row r="12" spans="1:3" ht="15" customHeight="1" x14ac:dyDescent="0.25">
      <c r="B12" s="5" t="s">
        <v>23</v>
      </c>
      <c r="C12" s="45">
        <v>0.69599999999999995</v>
      </c>
    </row>
    <row r="13" spans="1:3" ht="15" customHeight="1" x14ac:dyDescent="0.25">
      <c r="B13" s="5" t="s">
        <v>24</v>
      </c>
      <c r="C13" s="45">
        <v>0.871</v>
      </c>
    </row>
    <row r="14" spans="1:3" ht="15" customHeight="1" x14ac:dyDescent="0.25">
      <c r="B14" s="8"/>
    </row>
    <row r="15" spans="1:3" ht="15" customHeight="1" x14ac:dyDescent="0.3">
      <c r="A15" s="8" t="s">
        <v>25</v>
      </c>
      <c r="B15" s="14"/>
      <c r="C15" s="3"/>
    </row>
    <row r="16" spans="1:3" ht="15" customHeight="1" x14ac:dyDescent="0.25">
      <c r="B16" s="5" t="s">
        <v>26</v>
      </c>
      <c r="C16" s="45">
        <v>0.1</v>
      </c>
    </row>
    <row r="17" spans="1:3" ht="15" customHeight="1" x14ac:dyDescent="0.25">
      <c r="B17" s="5" t="s">
        <v>27</v>
      </c>
      <c r="C17" s="45">
        <v>0.7</v>
      </c>
    </row>
    <row r="18" spans="1:3" ht="15" customHeight="1" x14ac:dyDescent="0.25">
      <c r="B18" s="5" t="s">
        <v>28</v>
      </c>
      <c r="C18" s="45">
        <v>0.05</v>
      </c>
    </row>
    <row r="19" spans="1:3" ht="15" customHeight="1" x14ac:dyDescent="0.25">
      <c r="B19" s="5" t="s">
        <v>29</v>
      </c>
      <c r="C19" s="45">
        <v>0.05</v>
      </c>
    </row>
    <row r="20" spans="1:3" ht="15" customHeight="1" x14ac:dyDescent="0.25">
      <c r="B20" s="5" t="s">
        <v>30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31</v>
      </c>
    </row>
    <row r="23" spans="1:3" ht="15" customHeight="1" x14ac:dyDescent="0.25">
      <c r="B23" s="15" t="s">
        <v>32</v>
      </c>
      <c r="C23" s="45">
        <v>7.4200000000000002E-2</v>
      </c>
    </row>
    <row r="24" spans="1:3" ht="15" customHeight="1" x14ac:dyDescent="0.25">
      <c r="B24" s="15" t="s">
        <v>33</v>
      </c>
      <c r="C24" s="45">
        <v>0.63170000000000004</v>
      </c>
    </row>
    <row r="25" spans="1:3" ht="15" customHeight="1" x14ac:dyDescent="0.25">
      <c r="B25" s="15" t="s">
        <v>34</v>
      </c>
      <c r="C25" s="45">
        <v>0.28189999999999998</v>
      </c>
    </row>
    <row r="26" spans="1:3" ht="15" customHeight="1" x14ac:dyDescent="0.25">
      <c r="B26" s="15" t="s">
        <v>35</v>
      </c>
      <c r="C26" s="45">
        <v>1.2200000000000001E-2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36</v>
      </c>
      <c r="B28" s="15"/>
      <c r="C28" s="15"/>
    </row>
    <row r="29" spans="1:3" ht="14.25" customHeight="1" x14ac:dyDescent="0.25">
      <c r="B29" s="25" t="s">
        <v>37</v>
      </c>
      <c r="C29" s="45">
        <v>0.33902696599877202</v>
      </c>
    </row>
    <row r="30" spans="1:3" ht="14.25" customHeight="1" x14ac:dyDescent="0.25">
      <c r="B30" s="25" t="s">
        <v>38</v>
      </c>
      <c r="C30" s="99">
        <v>4.0590680603457503E-2</v>
      </c>
    </row>
    <row r="31" spans="1:3" ht="14.25" customHeight="1" x14ac:dyDescent="0.25">
      <c r="B31" s="25" t="s">
        <v>39</v>
      </c>
      <c r="C31" s="99">
        <v>5.7511069592953899E-2</v>
      </c>
    </row>
    <row r="32" spans="1:3" ht="14.25" customHeight="1" x14ac:dyDescent="0.25">
      <c r="B32" s="25" t="s">
        <v>40</v>
      </c>
      <c r="C32" s="99">
        <v>0.56287128380481699</v>
      </c>
    </row>
    <row r="33" spans="1:5" ht="13" customHeight="1" x14ac:dyDescent="0.25">
      <c r="B33" s="27" t="s">
        <v>41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42</v>
      </c>
    </row>
    <row r="36" spans="1:5" ht="15" customHeight="1" x14ac:dyDescent="0.25">
      <c r="A36" s="8" t="s">
        <v>43</v>
      </c>
      <c r="B36" s="5"/>
    </row>
    <row r="37" spans="1:5" ht="15" customHeight="1" x14ac:dyDescent="0.25">
      <c r="B37" s="11" t="s">
        <v>44</v>
      </c>
      <c r="C37" s="43">
        <v>7.52080674922541</v>
      </c>
    </row>
    <row r="38" spans="1:5" ht="15" customHeight="1" x14ac:dyDescent="0.25">
      <c r="B38" s="11" t="s">
        <v>45</v>
      </c>
      <c r="C38" s="43">
        <v>8.6142789466059604</v>
      </c>
      <c r="D38" s="12"/>
      <c r="E38" s="13"/>
    </row>
    <row r="39" spans="1:5" ht="15" customHeight="1" x14ac:dyDescent="0.25">
      <c r="B39" s="11" t="s">
        <v>46</v>
      </c>
      <c r="C39" s="43">
        <v>9.6824065774828707</v>
      </c>
      <c r="D39" s="12"/>
      <c r="E39" s="12"/>
    </row>
    <row r="40" spans="1:5" ht="15" customHeight="1" x14ac:dyDescent="0.25">
      <c r="B40" s="11" t="s">
        <v>47</v>
      </c>
      <c r="C40" s="100">
        <v>0.15</v>
      </c>
    </row>
    <row r="41" spans="1:5" ht="15" customHeight="1" x14ac:dyDescent="0.25">
      <c r="B41" s="11" t="s">
        <v>48</v>
      </c>
      <c r="C41" s="45">
        <v>0.12</v>
      </c>
    </row>
    <row r="42" spans="1:5" ht="15" customHeight="1" x14ac:dyDescent="0.25">
      <c r="B42" s="11" t="s">
        <v>49</v>
      </c>
      <c r="C42" s="43">
        <v>4.0832179110000002</v>
      </c>
    </row>
    <row r="43" spans="1:5" ht="15.75" customHeight="1" x14ac:dyDescent="0.25">
      <c r="D43" s="12"/>
    </row>
    <row r="44" spans="1:5" ht="15.75" customHeight="1" x14ac:dyDescent="0.25">
      <c r="A44" s="8" t="s">
        <v>50</v>
      </c>
      <c r="D44" s="12"/>
    </row>
    <row r="45" spans="1:5" ht="15.75" customHeight="1" x14ac:dyDescent="0.25">
      <c r="B45" s="11" t="s">
        <v>51</v>
      </c>
      <c r="C45" s="45">
        <v>5.8384000000000014E-3</v>
      </c>
      <c r="D45" s="12"/>
    </row>
    <row r="46" spans="1:5" ht="15.75" customHeight="1" x14ac:dyDescent="0.25">
      <c r="B46" s="11" t="s">
        <v>52</v>
      </c>
      <c r="C46" s="45">
        <v>6.3500500000000001E-2</v>
      </c>
      <c r="D46" s="12"/>
    </row>
    <row r="47" spans="1:5" ht="15.75" customHeight="1" x14ac:dyDescent="0.25">
      <c r="B47" s="11" t="s">
        <v>53</v>
      </c>
      <c r="C47" s="45">
        <v>3.3032800000000001E-2</v>
      </c>
      <c r="D47" s="12"/>
      <c r="E47" s="13"/>
    </row>
    <row r="48" spans="1:5" ht="15" customHeight="1" x14ac:dyDescent="0.25">
      <c r="B48" s="11" t="s">
        <v>54</v>
      </c>
      <c r="C48" s="46">
        <v>0.89762829999999993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55</v>
      </c>
      <c r="D50" s="12"/>
    </row>
    <row r="51" spans="1:4" ht="15.75" customHeight="1" x14ac:dyDescent="0.25">
      <c r="B51" s="11" t="s">
        <v>56</v>
      </c>
      <c r="C51" s="100">
        <v>2.8</v>
      </c>
      <c r="D51" s="12"/>
    </row>
    <row r="52" spans="1:4" ht="15" customHeight="1" x14ac:dyDescent="0.25">
      <c r="B52" s="11" t="s">
        <v>57</v>
      </c>
      <c r="C52" s="100">
        <v>2.8</v>
      </c>
    </row>
    <row r="53" spans="1:4" ht="15.75" customHeight="1" x14ac:dyDescent="0.25">
      <c r="B53" s="11" t="s">
        <v>58</v>
      </c>
      <c r="C53" s="100">
        <v>2.8</v>
      </c>
    </row>
    <row r="54" spans="1:4" ht="15.75" customHeight="1" x14ac:dyDescent="0.25">
      <c r="B54" s="11" t="s">
        <v>59</v>
      </c>
      <c r="C54" s="100">
        <v>2.8</v>
      </c>
    </row>
    <row r="55" spans="1:4" ht="15.75" customHeight="1" x14ac:dyDescent="0.25">
      <c r="B55" s="11" t="s">
        <v>60</v>
      </c>
      <c r="C55" s="100">
        <v>2.8</v>
      </c>
    </row>
    <row r="57" spans="1:4" ht="15.75" customHeight="1" x14ac:dyDescent="0.25">
      <c r="A57" s="8" t="s">
        <v>61</v>
      </c>
    </row>
    <row r="58" spans="1:4" ht="15.75" customHeight="1" x14ac:dyDescent="0.25">
      <c r="B58" s="5" t="s">
        <v>62</v>
      </c>
      <c r="C58" s="45">
        <v>1.6428571428571431E-2</v>
      </c>
    </row>
    <row r="59" spans="1:4" ht="15.75" customHeight="1" x14ac:dyDescent="0.25">
      <c r="B59" s="11" t="s">
        <v>63</v>
      </c>
      <c r="C59" s="45">
        <v>0.68814900000000001</v>
      </c>
    </row>
    <row r="60" spans="1:4" ht="15.75" customHeight="1" x14ac:dyDescent="0.25">
      <c r="B60" s="11" t="s">
        <v>64</v>
      </c>
      <c r="C60" s="45">
        <v>4.5999999999999999E-2</v>
      </c>
    </row>
    <row r="61" spans="1:4" ht="15.75" customHeight="1" x14ac:dyDescent="0.25">
      <c r="B61" s="11" t="s">
        <v>65</v>
      </c>
      <c r="C61" s="45">
        <v>1.4E-2</v>
      </c>
    </row>
    <row r="62" spans="1:4" ht="15.75" customHeight="1" x14ac:dyDescent="0.25">
      <c r="B62" s="11" t="s">
        <v>67</v>
      </c>
      <c r="C62" s="44">
        <v>4.5878300999999899E-2</v>
      </c>
    </row>
    <row r="63" spans="1:4" ht="15.75" customHeight="1" x14ac:dyDescent="0.3">
      <c r="A63" s="4"/>
    </row>
  </sheetData>
  <sheetProtection algorithmName="SHA-512" hashValue="snfXlN7xBrPiHheoxpzvXrMPmyl8fbG5QhT4Mm7aOi+xcPqPJt4NdoX+7GE59aitUAYO16+DwZxDnOTMroTSYw==" saltValue="BCp4/n4KyKi5FQTkwJGxU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5">
      <c r="A2" s="5">
        <f>start_year</f>
        <v>2021</v>
      </c>
      <c r="B2" s="49">
        <v>33053.83</v>
      </c>
      <c r="C2" s="49">
        <v>85000</v>
      </c>
      <c r="D2" s="49">
        <v>213000</v>
      </c>
      <c r="E2" s="49">
        <v>182000</v>
      </c>
      <c r="F2" s="49">
        <v>190000</v>
      </c>
      <c r="G2" s="17">
        <f t="shared" ref="G2:G11" si="0">C2+D2+E2+F2</f>
        <v>670000</v>
      </c>
      <c r="H2" s="17">
        <f t="shared" ref="H2:H11" si="1">(B2 + stillbirth*B2/(1000-stillbirth))/(1-abortion)</f>
        <v>37715.169711025919</v>
      </c>
      <c r="I2" s="17">
        <f t="shared" ref="I2:I11" si="2">G2-H2</f>
        <v>632284.8302889741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32843.631999999998</v>
      </c>
      <c r="C3" s="50">
        <v>81000</v>
      </c>
      <c r="D3" s="50">
        <v>213000</v>
      </c>
      <c r="E3" s="50">
        <v>178000</v>
      </c>
      <c r="F3" s="50">
        <v>192000</v>
      </c>
      <c r="G3" s="17">
        <f t="shared" si="0"/>
        <v>664000</v>
      </c>
      <c r="H3" s="17">
        <f t="shared" si="1"/>
        <v>37475.329025607061</v>
      </c>
      <c r="I3" s="17">
        <f t="shared" si="2"/>
        <v>626524.67097439291</v>
      </c>
    </row>
    <row r="4" spans="1:9" ht="15.75" customHeight="1" x14ac:dyDescent="0.25">
      <c r="A4" s="5">
        <f t="shared" si="3"/>
        <v>2023</v>
      </c>
      <c r="B4" s="49">
        <v>32610.617999999999</v>
      </c>
      <c r="C4" s="50">
        <v>77000</v>
      </c>
      <c r="D4" s="50">
        <v>210000</v>
      </c>
      <c r="E4" s="50">
        <v>175000</v>
      </c>
      <c r="F4" s="50">
        <v>192000</v>
      </c>
      <c r="G4" s="17">
        <f t="shared" si="0"/>
        <v>654000</v>
      </c>
      <c r="H4" s="17">
        <f t="shared" si="1"/>
        <v>37209.454766707415</v>
      </c>
      <c r="I4" s="17">
        <f t="shared" si="2"/>
        <v>616790.54523329262</v>
      </c>
    </row>
    <row r="5" spans="1:9" ht="15.75" customHeight="1" x14ac:dyDescent="0.25">
      <c r="A5" s="5">
        <f t="shared" si="3"/>
        <v>2024</v>
      </c>
      <c r="B5" s="49">
        <v>32377.758000000002</v>
      </c>
      <c r="C5" s="50">
        <v>74000</v>
      </c>
      <c r="D5" s="50">
        <v>206000</v>
      </c>
      <c r="E5" s="50">
        <v>173000</v>
      </c>
      <c r="F5" s="50">
        <v>192000</v>
      </c>
      <c r="G5" s="17">
        <f t="shared" si="0"/>
        <v>645000</v>
      </c>
      <c r="H5" s="17">
        <f t="shared" si="1"/>
        <v>36943.756225300589</v>
      </c>
      <c r="I5" s="17">
        <f t="shared" si="2"/>
        <v>608056.2437746994</v>
      </c>
    </row>
    <row r="6" spans="1:9" ht="15.75" customHeight="1" x14ac:dyDescent="0.25">
      <c r="A6" s="5">
        <f t="shared" si="3"/>
        <v>2025</v>
      </c>
      <c r="B6" s="49">
        <v>32145.052</v>
      </c>
      <c r="C6" s="50">
        <v>72000</v>
      </c>
      <c r="D6" s="50">
        <v>200000</v>
      </c>
      <c r="E6" s="50">
        <v>174000</v>
      </c>
      <c r="F6" s="50">
        <v>191000</v>
      </c>
      <c r="G6" s="17">
        <f t="shared" si="0"/>
        <v>637000</v>
      </c>
      <c r="H6" s="17">
        <f t="shared" si="1"/>
        <v>36678.233401386562</v>
      </c>
      <c r="I6" s="17">
        <f t="shared" si="2"/>
        <v>600321.76659861347</v>
      </c>
    </row>
    <row r="7" spans="1:9" ht="15.75" customHeight="1" x14ac:dyDescent="0.25">
      <c r="A7" s="5">
        <f t="shared" si="3"/>
        <v>2026</v>
      </c>
      <c r="B7" s="49">
        <v>31650.117200000001</v>
      </c>
      <c r="C7" s="50">
        <v>72000</v>
      </c>
      <c r="D7" s="50">
        <v>192000</v>
      </c>
      <c r="E7" s="50">
        <v>177000</v>
      </c>
      <c r="F7" s="50">
        <v>190000</v>
      </c>
      <c r="G7" s="17">
        <f t="shared" si="0"/>
        <v>631000</v>
      </c>
      <c r="H7" s="17">
        <f t="shared" si="1"/>
        <v>36113.501569163411</v>
      </c>
      <c r="I7" s="17">
        <f t="shared" si="2"/>
        <v>594886.4984308366</v>
      </c>
    </row>
    <row r="8" spans="1:9" ht="15.75" customHeight="1" x14ac:dyDescent="0.25">
      <c r="A8" s="5">
        <f t="shared" si="3"/>
        <v>2027</v>
      </c>
      <c r="B8" s="49">
        <v>31156.146000000001</v>
      </c>
      <c r="C8" s="50">
        <v>73000</v>
      </c>
      <c r="D8" s="50">
        <v>182000</v>
      </c>
      <c r="E8" s="50">
        <v>182000</v>
      </c>
      <c r="F8" s="50">
        <v>188000</v>
      </c>
      <c r="G8" s="17">
        <f t="shared" si="0"/>
        <v>625000</v>
      </c>
      <c r="H8" s="17">
        <f t="shared" si="1"/>
        <v>35549.869226395291</v>
      </c>
      <c r="I8" s="17">
        <f t="shared" si="2"/>
        <v>589450.13077360473</v>
      </c>
    </row>
    <row r="9" spans="1:9" ht="15.75" customHeight="1" x14ac:dyDescent="0.25">
      <c r="A9" s="5">
        <f t="shared" si="3"/>
        <v>2028</v>
      </c>
      <c r="B9" s="49">
        <v>30652.443199999991</v>
      </c>
      <c r="C9" s="50">
        <v>75000</v>
      </c>
      <c r="D9" s="50">
        <v>170000</v>
      </c>
      <c r="E9" s="50">
        <v>188000</v>
      </c>
      <c r="F9" s="50">
        <v>184000</v>
      </c>
      <c r="G9" s="17">
        <f t="shared" si="0"/>
        <v>617000</v>
      </c>
      <c r="H9" s="17">
        <f t="shared" si="1"/>
        <v>34975.132907308536</v>
      </c>
      <c r="I9" s="17">
        <f t="shared" si="2"/>
        <v>582024.86709269148</v>
      </c>
    </row>
    <row r="10" spans="1:9" ht="15.75" customHeight="1" x14ac:dyDescent="0.25">
      <c r="A10" s="5">
        <f t="shared" si="3"/>
        <v>2029</v>
      </c>
      <c r="B10" s="49">
        <v>30139.49059999999</v>
      </c>
      <c r="C10" s="50">
        <v>77000</v>
      </c>
      <c r="D10" s="50">
        <v>161000</v>
      </c>
      <c r="E10" s="50">
        <v>193000</v>
      </c>
      <c r="F10" s="50">
        <v>181000</v>
      </c>
      <c r="G10" s="17">
        <f t="shared" si="0"/>
        <v>612000</v>
      </c>
      <c r="H10" s="17">
        <f t="shared" si="1"/>
        <v>34389.842356630688</v>
      </c>
      <c r="I10" s="17">
        <f t="shared" si="2"/>
        <v>577610.15764336928</v>
      </c>
    </row>
    <row r="11" spans="1:9" ht="15.75" customHeight="1" x14ac:dyDescent="0.25">
      <c r="A11" s="5">
        <f t="shared" si="3"/>
        <v>2030</v>
      </c>
      <c r="B11" s="49">
        <v>29617.77</v>
      </c>
      <c r="C11" s="50">
        <v>78000</v>
      </c>
      <c r="D11" s="50">
        <v>153000</v>
      </c>
      <c r="E11" s="50">
        <v>197000</v>
      </c>
      <c r="F11" s="50">
        <v>178000</v>
      </c>
      <c r="G11" s="17">
        <f t="shared" si="0"/>
        <v>606000</v>
      </c>
      <c r="H11" s="17">
        <f t="shared" si="1"/>
        <v>33794.547319089259</v>
      </c>
      <c r="I11" s="17">
        <f t="shared" si="2"/>
        <v>572205.4526809107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IElmquyuPQo38AKDX95KGbFkr0+oDbIDk8bpXc1rnh3ChJiiU30bA5pv33yl3RaOYZODajDnOchf4RvK8INxJg==" saltValue="eBUu0YcIg1/+LBRyA4rW9w==" spinCount="100000" sheet="1" objects="1" scenarios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3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5">
      <c r="B3" s="19" t="s">
        <v>78</v>
      </c>
      <c r="C3" s="55">
        <v>0</v>
      </c>
    </row>
    <row r="4" spans="1:8" ht="15.75" customHeight="1" x14ac:dyDescent="0.25">
      <c r="B4" s="19" t="s">
        <v>79</v>
      </c>
      <c r="C4" s="101">
        <v>3.8595721637654568E-2</v>
      </c>
    </row>
    <row r="5" spans="1:8" ht="15.75" customHeight="1" x14ac:dyDescent="0.25">
      <c r="B5" s="19" t="s">
        <v>80</v>
      </c>
      <c r="C5" s="101">
        <v>6.5131702349881748E-2</v>
      </c>
    </row>
    <row r="6" spans="1:8" ht="15.75" customHeight="1" x14ac:dyDescent="0.25">
      <c r="B6" s="19" t="s">
        <v>81</v>
      </c>
      <c r="C6" s="101">
        <v>0.1224740082783093</v>
      </c>
    </row>
    <row r="7" spans="1:8" ht="15.75" customHeight="1" x14ac:dyDescent="0.25">
      <c r="B7" s="19" t="s">
        <v>82</v>
      </c>
      <c r="C7" s="101">
        <v>0.4088223917741689</v>
      </c>
    </row>
    <row r="8" spans="1:8" ht="15.75" customHeight="1" x14ac:dyDescent="0.25">
      <c r="B8" s="19" t="s">
        <v>83</v>
      </c>
      <c r="C8" s="101">
        <v>1.152465474399848E-2</v>
      </c>
    </row>
    <row r="9" spans="1:8" ht="15.75" customHeight="1" x14ac:dyDescent="0.25">
      <c r="B9" s="19" t="s">
        <v>84</v>
      </c>
      <c r="C9" s="101">
        <v>0.26503148345718658</v>
      </c>
    </row>
    <row r="10" spans="1:8" ht="15.75" customHeight="1" x14ac:dyDescent="0.25">
      <c r="B10" s="19" t="s">
        <v>85</v>
      </c>
      <c r="C10" s="101">
        <v>8.8420037758800432E-2</v>
      </c>
    </row>
    <row r="11" spans="1:8" ht="15.75" customHeight="1" x14ac:dyDescent="0.25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5">
      <c r="B14" s="19" t="s">
        <v>87</v>
      </c>
      <c r="C14" s="55">
        <v>1.81350573103383E-2</v>
      </c>
      <c r="D14" s="55">
        <v>1.81350573103383E-2</v>
      </c>
      <c r="E14" s="55">
        <v>1.81350573103383E-2</v>
      </c>
      <c r="F14" s="55">
        <v>1.81350573103383E-2</v>
      </c>
    </row>
    <row r="15" spans="1:8" ht="15.75" customHeight="1" x14ac:dyDescent="0.25">
      <c r="B15" s="19" t="s">
        <v>88</v>
      </c>
      <c r="C15" s="101">
        <v>0.1412940038353156</v>
      </c>
      <c r="D15" s="101">
        <v>0.1412940038353156</v>
      </c>
      <c r="E15" s="101">
        <v>0.1412940038353156</v>
      </c>
      <c r="F15" s="101">
        <v>0.1412940038353156</v>
      </c>
    </row>
    <row r="16" spans="1:8" ht="15.75" customHeight="1" x14ac:dyDescent="0.25">
      <c r="B16" s="19" t="s">
        <v>89</v>
      </c>
      <c r="C16" s="101">
        <v>3.1332447503998953E-2</v>
      </c>
      <c r="D16" s="101">
        <v>3.1332447503998953E-2</v>
      </c>
      <c r="E16" s="101">
        <v>3.1332447503998953E-2</v>
      </c>
      <c r="F16" s="101">
        <v>3.1332447503998953E-2</v>
      </c>
    </row>
    <row r="17" spans="1:8" ht="15.75" customHeight="1" x14ac:dyDescent="0.25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92</v>
      </c>
      <c r="C19" s="101">
        <v>1.0583306283851559E-2</v>
      </c>
      <c r="D19" s="101">
        <v>1.0583306283851559E-2</v>
      </c>
      <c r="E19" s="101">
        <v>1.0583306283851559E-2</v>
      </c>
      <c r="F19" s="101">
        <v>1.0583306283851559E-2</v>
      </c>
    </row>
    <row r="20" spans="1:8" ht="15.75" customHeight="1" x14ac:dyDescent="0.25">
      <c r="B20" s="19" t="s">
        <v>93</v>
      </c>
      <c r="C20" s="101">
        <v>2.4321090874857669E-2</v>
      </c>
      <c r="D20" s="101">
        <v>2.4321090874857669E-2</v>
      </c>
      <c r="E20" s="101">
        <v>2.4321090874857669E-2</v>
      </c>
      <c r="F20" s="101">
        <v>2.4321090874857669E-2</v>
      </c>
    </row>
    <row r="21" spans="1:8" ht="15.75" customHeight="1" x14ac:dyDescent="0.25">
      <c r="B21" s="19" t="s">
        <v>94</v>
      </c>
      <c r="C21" s="101">
        <v>0.19422898127312571</v>
      </c>
      <c r="D21" s="101">
        <v>0.19422898127312571</v>
      </c>
      <c r="E21" s="101">
        <v>0.19422898127312571</v>
      </c>
      <c r="F21" s="101">
        <v>0.19422898127312571</v>
      </c>
    </row>
    <row r="22" spans="1:8" ht="15.75" customHeight="1" x14ac:dyDescent="0.25">
      <c r="B22" s="19" t="s">
        <v>95</v>
      </c>
      <c r="C22" s="101">
        <v>0.58010511291851208</v>
      </c>
      <c r="D22" s="101">
        <v>0.58010511291851208</v>
      </c>
      <c r="E22" s="101">
        <v>0.58010511291851208</v>
      </c>
      <c r="F22" s="101">
        <v>0.58010511291851208</v>
      </c>
    </row>
    <row r="23" spans="1:8" ht="15.75" customHeight="1" x14ac:dyDescent="0.25">
      <c r="B23" s="27" t="s">
        <v>41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101</v>
      </c>
      <c r="C26" s="55">
        <v>5.4875438999999977E-2</v>
      </c>
    </row>
    <row r="27" spans="1:8" ht="15.75" customHeight="1" x14ac:dyDescent="0.25">
      <c r="B27" s="19" t="s">
        <v>102</v>
      </c>
      <c r="C27" s="101">
        <v>6.1112532999999997E-2</v>
      </c>
    </row>
    <row r="28" spans="1:8" ht="15.75" customHeight="1" x14ac:dyDescent="0.25">
      <c r="B28" s="19" t="s">
        <v>103</v>
      </c>
      <c r="C28" s="101">
        <v>0.12187780400000001</v>
      </c>
    </row>
    <row r="29" spans="1:8" ht="15.75" customHeight="1" x14ac:dyDescent="0.25">
      <c r="B29" s="19" t="s">
        <v>104</v>
      </c>
      <c r="C29" s="101">
        <v>0.13517542399999999</v>
      </c>
    </row>
    <row r="30" spans="1:8" ht="15.75" customHeight="1" x14ac:dyDescent="0.25">
      <c r="B30" s="19" t="s">
        <v>2</v>
      </c>
      <c r="C30" s="101">
        <v>8.1544961999999999E-2</v>
      </c>
    </row>
    <row r="31" spans="1:8" ht="15.75" customHeight="1" x14ac:dyDescent="0.25">
      <c r="B31" s="19" t="s">
        <v>105</v>
      </c>
      <c r="C31" s="101">
        <v>6.5156283999999995E-2</v>
      </c>
    </row>
    <row r="32" spans="1:8" ht="15.75" customHeight="1" x14ac:dyDescent="0.25">
      <c r="B32" s="19" t="s">
        <v>106</v>
      </c>
      <c r="C32" s="101">
        <v>0.13128318899999999</v>
      </c>
    </row>
    <row r="33" spans="2:3" ht="15.75" customHeight="1" x14ac:dyDescent="0.25">
      <c r="B33" s="19" t="s">
        <v>107</v>
      </c>
      <c r="C33" s="101">
        <v>0.12725431500000001</v>
      </c>
    </row>
    <row r="34" spans="2:3" ht="15.75" customHeight="1" x14ac:dyDescent="0.25">
      <c r="B34" s="19" t="s">
        <v>108</v>
      </c>
      <c r="C34" s="101">
        <v>0.221720049</v>
      </c>
    </row>
    <row r="35" spans="2:3" ht="15.75" customHeight="1" x14ac:dyDescent="0.25">
      <c r="B35" s="27" t="s">
        <v>41</v>
      </c>
      <c r="C35" s="48">
        <f>SUM(C26:C34)</f>
        <v>0.99999999899999992</v>
      </c>
    </row>
  </sheetData>
  <sheetProtection algorithmName="SHA-512" hashValue="qFCWb/i/2oq4XSk/FI3jRzhzv0ZtFXlyRg9gRdWV8uTqRTLk3Sa/yIxD2/eyqo9+H8E90OYPP9hfnQzQWE5Hcw==" saltValue="aFyMoY6sdniCjfTAGecpV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5">
      <c r="A2" s="3" t="s">
        <v>111</v>
      </c>
      <c r="B2" s="5" t="s">
        <v>112</v>
      </c>
      <c r="C2" s="52">
        <f>IFERROR(1-_xlfn.NORM.DIST(_xlfn.NORM.INV(SUM(C4:C5), 0, 1) + 1, 0, 1, TRUE), "")</f>
        <v>0.5843400223710209</v>
      </c>
      <c r="D2" s="52">
        <f>IFERROR(1-_xlfn.NORM.DIST(_xlfn.NORM.INV(SUM(D4:D5), 0, 1) + 1, 0, 1, TRUE), "")</f>
        <v>0.5843400223710209</v>
      </c>
      <c r="E2" s="52">
        <f>IFERROR(1-_xlfn.NORM.DIST(_xlfn.NORM.INV(SUM(E4:E5), 0, 1) + 1, 0, 1, TRUE), "")</f>
        <v>0.68630386942334165</v>
      </c>
      <c r="F2" s="52">
        <f>IFERROR(1-_xlfn.NORM.DIST(_xlfn.NORM.INV(SUM(F4:F5), 0, 1) + 1, 0, 1, TRUE), "")</f>
        <v>0.54136274657109651</v>
      </c>
      <c r="G2" s="52">
        <f>IFERROR(1-_xlfn.NORM.DIST(_xlfn.NORM.INV(SUM(G4:G5), 0, 1) + 1, 0, 1, TRUE), "")</f>
        <v>0.57132952529162184</v>
      </c>
    </row>
    <row r="3" spans="1:15" ht="15.75" customHeight="1" x14ac:dyDescent="0.25">
      <c r="B3" s="5" t="s">
        <v>113</v>
      </c>
      <c r="C3" s="52">
        <f>IFERROR(_xlfn.NORM.DIST(_xlfn.NORM.INV(SUM(C4:C5), 0, 1) + 1, 0, 1, TRUE) - SUM(C4:C5), "")</f>
        <v>0.30309678478458835</v>
      </c>
      <c r="D3" s="52">
        <f>IFERROR(_xlfn.NORM.DIST(_xlfn.NORM.INV(SUM(D4:D5), 0, 1) + 1, 0, 1, TRUE) - SUM(D4:D5), "")</f>
        <v>0.30309678478458835</v>
      </c>
      <c r="E3" s="52">
        <f>IFERROR(_xlfn.NORM.DIST(_xlfn.NORM.INV(SUM(E4:E5), 0, 1) + 1, 0, 1, TRUE) - SUM(E4:E5), "")</f>
        <v>0.24497725202434073</v>
      </c>
      <c r="F3" s="52">
        <f>IFERROR(_xlfn.NORM.DIST(_xlfn.NORM.INV(SUM(F4:F5), 0, 1) + 1, 0, 1, TRUE) - SUM(F4:F5), "")</f>
        <v>0.32381194182774159</v>
      </c>
      <c r="G3" s="52">
        <f>IFERROR(_xlfn.NORM.DIST(_xlfn.NORM.INV(SUM(G4:G5), 0, 1) + 1, 0, 1, TRUE) - SUM(G4:G5), "")</f>
        <v>0.30962264296442255</v>
      </c>
    </row>
    <row r="4" spans="1:15" ht="15.75" customHeight="1" x14ac:dyDescent="0.25">
      <c r="B4" s="5" t="s">
        <v>114</v>
      </c>
      <c r="C4" s="45">
        <v>8.5219256579875891E-2</v>
      </c>
      <c r="D4" s="53">
        <v>8.5219256579875891E-2</v>
      </c>
      <c r="E4" s="53">
        <v>2.7498716488480599E-2</v>
      </c>
      <c r="F4" s="53">
        <v>7.5409822165965992E-2</v>
      </c>
      <c r="G4" s="53">
        <v>8.2397267222404494E-2</v>
      </c>
    </row>
    <row r="5" spans="1:15" ht="15.75" customHeight="1" x14ac:dyDescent="0.25">
      <c r="B5" s="5" t="s">
        <v>115</v>
      </c>
      <c r="C5" s="45">
        <v>2.7343936264514899E-2</v>
      </c>
      <c r="D5" s="53">
        <v>2.7343936264514899E-2</v>
      </c>
      <c r="E5" s="53">
        <v>4.1220162063837093E-2</v>
      </c>
      <c r="F5" s="53">
        <v>5.9415489435195902E-2</v>
      </c>
      <c r="G5" s="53">
        <v>3.6650564521551098E-2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116</v>
      </c>
      <c r="B8" s="5" t="s">
        <v>117</v>
      </c>
      <c r="C8" s="52">
        <f>IFERROR(1-_xlfn.NORM.DIST(_xlfn.NORM.INV(SUM(C10:C11), 0, 1) + 1, 0, 1, TRUE), "")</f>
        <v>0.74306762533496284</v>
      </c>
      <c r="D8" s="52">
        <f>IFERROR(1-_xlfn.NORM.DIST(_xlfn.NORM.INV(SUM(D10:D11), 0, 1) + 1, 0, 1, TRUE), "")</f>
        <v>0.74306762533496284</v>
      </c>
      <c r="E8" s="52">
        <f>IFERROR(1-_xlfn.NORM.DIST(_xlfn.NORM.INV(SUM(E10:E11), 0, 1) + 1, 0, 1, TRUE), "")</f>
        <v>0.93505523948340319</v>
      </c>
      <c r="F8" s="52">
        <f>IFERROR(1-_xlfn.NORM.DIST(_xlfn.NORM.INV(SUM(F10:F11), 0, 1) + 1, 0, 1, TRUE), "")</f>
        <v>0.94767761616610235</v>
      </c>
      <c r="G8" s="52">
        <f>IFERROR(1-_xlfn.NORM.DIST(_xlfn.NORM.INV(SUM(G10:G11), 0, 1) + 1, 0, 1, TRUE), "")</f>
        <v>0.89159184227079302</v>
      </c>
    </row>
    <row r="9" spans="1:15" ht="15.75" customHeight="1" x14ac:dyDescent="0.25">
      <c r="B9" s="5" t="s">
        <v>118</v>
      </c>
      <c r="C9" s="52">
        <f>IFERROR(_xlfn.NORM.DIST(_xlfn.NORM.INV(SUM(C10:C11), 0, 1) + 1, 0, 1, TRUE) - SUM(C10:C11), "")</f>
        <v>0.2077498199581061</v>
      </c>
      <c r="D9" s="52">
        <f>IFERROR(_xlfn.NORM.DIST(_xlfn.NORM.INV(SUM(D10:D11), 0, 1) + 1, 0, 1, TRUE) - SUM(D10:D11), "")</f>
        <v>0.2077498199581061</v>
      </c>
      <c r="E9" s="52">
        <f>IFERROR(_xlfn.NORM.DIST(_xlfn.NORM.INV(SUM(E10:E11), 0, 1) + 1, 0, 1, TRUE) - SUM(E10:E11), "")</f>
        <v>5.8985332484667981E-2</v>
      </c>
      <c r="F9" s="52">
        <f>IFERROR(_xlfn.NORM.DIST(_xlfn.NORM.INV(SUM(F10:F11), 0, 1) + 1, 0, 1, TRUE) - SUM(F10:F11), "")</f>
        <v>4.7961107086238797E-2</v>
      </c>
      <c r="G9" s="52">
        <f>IFERROR(_xlfn.NORM.DIST(_xlfn.NORM.INV(SUM(G10:G11), 0, 1) + 1, 0, 1, TRUE) - SUM(G10:G11), "")</f>
        <v>9.5700734776108007E-2</v>
      </c>
    </row>
    <row r="10" spans="1:15" ht="15.75" customHeight="1" x14ac:dyDescent="0.25">
      <c r="B10" s="5" t="s">
        <v>119</v>
      </c>
      <c r="C10" s="45">
        <v>2.8842989355325699E-2</v>
      </c>
      <c r="D10" s="53">
        <v>2.8842989355325699E-2</v>
      </c>
      <c r="E10" s="53">
        <v>4.7014812007546E-3</v>
      </c>
      <c r="F10" s="53">
        <v>3.0491368379444001E-3</v>
      </c>
      <c r="G10" s="53">
        <v>8.4022181108593993E-3</v>
      </c>
    </row>
    <row r="11" spans="1:15" ht="15.75" customHeight="1" x14ac:dyDescent="0.25">
      <c r="B11" s="5" t="s">
        <v>120</v>
      </c>
      <c r="C11" s="45">
        <v>2.0339565351605401E-2</v>
      </c>
      <c r="D11" s="53">
        <v>2.0339565351605401E-2</v>
      </c>
      <c r="E11" s="53">
        <v>1.2579468311742E-3</v>
      </c>
      <c r="F11" s="53">
        <v>1.3121399097145001E-3</v>
      </c>
      <c r="G11" s="53">
        <v>4.3052048422396001E-3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5">
      <c r="B14" s="11" t="s">
        <v>126</v>
      </c>
      <c r="C14" s="51">
        <v>0.49191085224999997</v>
      </c>
      <c r="D14" s="54">
        <v>0.51822107709800003</v>
      </c>
      <c r="E14" s="54">
        <v>0.51822107709800003</v>
      </c>
      <c r="F14" s="54">
        <v>0.23575004308899999</v>
      </c>
      <c r="G14" s="54">
        <v>0.23575004308899999</v>
      </c>
      <c r="H14" s="45">
        <v>0.23200000000000001</v>
      </c>
      <c r="I14" s="55">
        <v>0.23200000000000001</v>
      </c>
      <c r="J14" s="55">
        <v>0.23200000000000001</v>
      </c>
      <c r="K14" s="55">
        <v>0.23200000000000001</v>
      </c>
      <c r="L14" s="45">
        <v>0.254</v>
      </c>
      <c r="M14" s="55">
        <v>0.254</v>
      </c>
      <c r="N14" s="55">
        <v>0.254</v>
      </c>
      <c r="O14" s="55">
        <v>0.254</v>
      </c>
    </row>
    <row r="15" spans="1:15" ht="15.75" customHeight="1" x14ac:dyDescent="0.25">
      <c r="B15" s="11" t="s">
        <v>127</v>
      </c>
      <c r="C15" s="52">
        <f t="shared" ref="C15:O15" si="0">iron_deficiency_anaemia*C14</f>
        <v>0.33850796106498526</v>
      </c>
      <c r="D15" s="52">
        <f t="shared" si="0"/>
        <v>0.35661331598391161</v>
      </c>
      <c r="E15" s="52">
        <f t="shared" si="0"/>
        <v>0.35661331598391161</v>
      </c>
      <c r="F15" s="52">
        <f t="shared" si="0"/>
        <v>0.16223115640165225</v>
      </c>
      <c r="G15" s="52">
        <f t="shared" si="0"/>
        <v>0.16223115640165225</v>
      </c>
      <c r="H15" s="52">
        <f t="shared" si="0"/>
        <v>0.15965056800000002</v>
      </c>
      <c r="I15" s="52">
        <f t="shared" si="0"/>
        <v>0.15965056800000002</v>
      </c>
      <c r="J15" s="52">
        <f t="shared" si="0"/>
        <v>0.15965056800000002</v>
      </c>
      <c r="K15" s="52">
        <f t="shared" si="0"/>
        <v>0.15965056800000002</v>
      </c>
      <c r="L15" s="52">
        <f t="shared" si="0"/>
        <v>0.174789846</v>
      </c>
      <c r="M15" s="52">
        <f t="shared" si="0"/>
        <v>0.174789846</v>
      </c>
      <c r="N15" s="52">
        <f t="shared" si="0"/>
        <v>0.174789846</v>
      </c>
      <c r="O15" s="52">
        <f t="shared" si="0"/>
        <v>0.174789846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cz4fE67d8hOV+1oykSGyxrAjetBHxYQW1Pw+vOOTuIEKhuGThziQvXxROlJbcjtl0y2n1qwQXKtQiZWX21RBrQ==" saltValue="Prc/bdocbn3mADsiSkZf1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5">
      <c r="A2" s="3" t="s">
        <v>128</v>
      </c>
      <c r="B2" s="3" t="s">
        <v>129</v>
      </c>
      <c r="C2" s="45">
        <v>0.45765948295593301</v>
      </c>
      <c r="D2" s="53">
        <v>0.34266350000000001</v>
      </c>
      <c r="E2" s="53"/>
      <c r="F2" s="53"/>
      <c r="G2" s="53"/>
    </row>
    <row r="3" spans="1:7" x14ac:dyDescent="0.25">
      <c r="B3" s="3" t="s">
        <v>130</v>
      </c>
      <c r="C3" s="53">
        <v>0.20446324348449699</v>
      </c>
      <c r="D3" s="53">
        <v>0.15321770000000001</v>
      </c>
      <c r="E3" s="53"/>
      <c r="F3" s="53"/>
      <c r="G3" s="53"/>
    </row>
    <row r="4" spans="1:7" x14ac:dyDescent="0.25">
      <c r="B4" s="3" t="s">
        <v>131</v>
      </c>
      <c r="C4" s="53">
        <v>0.23293679952621499</v>
      </c>
      <c r="D4" s="53">
        <v>0.3769903</v>
      </c>
      <c r="E4" s="53">
        <v>0.77493774890899703</v>
      </c>
      <c r="F4" s="53">
        <v>0.43206679821014399</v>
      </c>
      <c r="G4" s="53"/>
    </row>
    <row r="5" spans="1:7" x14ac:dyDescent="0.25">
      <c r="B5" s="3" t="s">
        <v>132</v>
      </c>
      <c r="C5" s="52">
        <v>0.104940488934517</v>
      </c>
      <c r="D5" s="52">
        <v>0.127128511667252</v>
      </c>
      <c r="E5" s="52">
        <f>1-SUM(E2:E4)</f>
        <v>0.22506225109100297</v>
      </c>
      <c r="F5" s="52">
        <f>1-SUM(F2:F4)</f>
        <v>0.56793320178985596</v>
      </c>
      <c r="G5" s="52">
        <f>1-SUM(G2:G4)</f>
        <v>1</v>
      </c>
    </row>
  </sheetData>
  <sheetProtection algorithmName="SHA-512" hashValue="qxGuHIH8PCHM7lrIh2SKWhqNqwCEA/dsVe+7AmC/9TvOeEVQF4p8JZEI70Ur5tHHK/yAGRAbI++LVenWSpRPPQ==" saltValue="G5RACCPsugsagmn9qj/gW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Emvr++9+0FSyeuyejmRSoGQRWz+dccau4gnZXOzJS5LwNDIpiFHehkgwJyCDzU3TjPx1x0WgPGZT5i9NV6JMuw==" saltValue="VUFj8y9CT670t3YbSQic8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4</v>
      </c>
      <c r="B1" s="4" t="s">
        <v>144</v>
      </c>
    </row>
    <row r="2" spans="1:2" ht="13.25" customHeight="1" x14ac:dyDescent="0.25">
      <c r="A2" s="8" t="s">
        <v>145</v>
      </c>
      <c r="B2" s="41">
        <v>10</v>
      </c>
    </row>
    <row r="3" spans="1:2" ht="13.25" customHeight="1" x14ac:dyDescent="0.25">
      <c r="A3" s="8" t="s">
        <v>150</v>
      </c>
      <c r="B3" s="41">
        <v>10</v>
      </c>
    </row>
    <row r="4" spans="1:2" ht="13.25" customHeight="1" x14ac:dyDescent="0.25">
      <c r="A4" s="8" t="s">
        <v>146</v>
      </c>
      <c r="B4" s="41">
        <v>10</v>
      </c>
    </row>
    <row r="5" spans="1:2" ht="13.25" customHeight="1" x14ac:dyDescent="0.25">
      <c r="A5" s="8" t="s">
        <v>147</v>
      </c>
      <c r="B5" s="41">
        <v>10</v>
      </c>
    </row>
    <row r="6" spans="1:2" ht="13.25" customHeight="1" x14ac:dyDescent="0.25">
      <c r="A6" s="8" t="s">
        <v>148</v>
      </c>
      <c r="B6" s="41">
        <v>10</v>
      </c>
    </row>
    <row r="7" spans="1:2" ht="13.25" customHeight="1" x14ac:dyDescent="0.25">
      <c r="A7" s="8" t="s">
        <v>149</v>
      </c>
      <c r="B7" s="41">
        <v>10</v>
      </c>
    </row>
  </sheetData>
  <sheetProtection algorithmName="SHA-512" hashValue="XuKbnSkOH7CPr+nan0DygYJaKt04ohCzXiJqvkGWsqwqr9MaEcmEEs/lBu5ZGAJbfZtUoDSe3A+oiQxJ26BxsA==" saltValue="dOW3xI1wxuCVzM7SIKJNv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ht="13" customHeight="1" x14ac:dyDescent="0.3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109</v>
      </c>
      <c r="C3" s="47"/>
      <c r="D3" s="47" t="s">
        <v>5</v>
      </c>
      <c r="E3" s="38" t="str">
        <f>IF(E$7="","",E$7)</f>
        <v/>
      </c>
    </row>
    <row r="4" spans="1:5" ht="13.25" customHeight="1" x14ac:dyDescent="0.25">
      <c r="B4" s="32" t="s">
        <v>96</v>
      </c>
      <c r="C4" s="47"/>
      <c r="D4" s="47" t="s">
        <v>5</v>
      </c>
      <c r="E4" s="38" t="str">
        <f>IF(E$7="","",E$7)</f>
        <v/>
      </c>
    </row>
    <row r="5" spans="1:5" ht="13.25" customHeight="1" x14ac:dyDescent="0.25">
      <c r="B5" s="32" t="s">
        <v>97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98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156</v>
      </c>
      <c r="C7" s="31"/>
      <c r="D7" s="30"/>
      <c r="E7" s="47"/>
    </row>
    <row r="9" spans="1:5" ht="13" customHeight="1" x14ac:dyDescent="0.3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109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96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97</v>
      </c>
      <c r="C12" s="47"/>
      <c r="D12" s="47" t="s">
        <v>5</v>
      </c>
      <c r="E12" s="38" t="str">
        <f>IF(E$7="","",E$7)</f>
        <v/>
      </c>
    </row>
    <row r="13" spans="1:5" ht="13.25" customHeight="1" x14ac:dyDescent="0.25">
      <c r="B13" s="32" t="s">
        <v>98</v>
      </c>
      <c r="C13" s="47"/>
      <c r="D13" s="47" t="s">
        <v>5</v>
      </c>
      <c r="E13" s="38" t="str">
        <f>IF(E$7="","",E$7)</f>
        <v/>
      </c>
    </row>
    <row r="14" spans="1:5" ht="13.25" customHeight="1" x14ac:dyDescent="0.25">
      <c r="B14" s="32" t="s">
        <v>156</v>
      </c>
      <c r="C14" s="31"/>
      <c r="D14" s="30"/>
      <c r="E14" s="47"/>
    </row>
    <row r="16" spans="1:5" ht="13" customHeight="1" x14ac:dyDescent="0.3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ht="13.25" customHeight="1" x14ac:dyDescent="0.25">
      <c r="B17" s="32" t="s">
        <v>109</v>
      </c>
      <c r="C17" s="47"/>
      <c r="D17" s="47" t="s">
        <v>5</v>
      </c>
      <c r="E17" s="38" t="str">
        <f>IF(E$7="","",E$7)</f>
        <v/>
      </c>
    </row>
    <row r="18" spans="2:5" ht="13.25" customHeight="1" x14ac:dyDescent="0.25">
      <c r="B18" s="32" t="s">
        <v>96</v>
      </c>
      <c r="C18" s="47"/>
      <c r="D18" s="47" t="s">
        <v>5</v>
      </c>
      <c r="E18" s="38" t="str">
        <f>IF(E$7="","",E$7)</f>
        <v/>
      </c>
    </row>
    <row r="19" spans="2:5" ht="13.25" customHeight="1" x14ac:dyDescent="0.25">
      <c r="B19" s="32" t="s">
        <v>97</v>
      </c>
      <c r="C19" s="47"/>
      <c r="D19" s="47" t="s">
        <v>5</v>
      </c>
      <c r="E19" s="38" t="str">
        <f>IF(E$7="","",E$7)</f>
        <v/>
      </c>
    </row>
    <row r="20" spans="2:5" ht="13.25" customHeight="1" x14ac:dyDescent="0.25">
      <c r="B20" s="32" t="s">
        <v>98</v>
      </c>
      <c r="C20" s="47"/>
      <c r="D20" s="47" t="s">
        <v>5</v>
      </c>
      <c r="E20" s="38" t="str">
        <f>IF(E$7="","",E$7)</f>
        <v/>
      </c>
    </row>
    <row r="21" spans="2:5" ht="13.25" customHeight="1" x14ac:dyDescent="0.25">
      <c r="B21" s="32" t="s">
        <v>156</v>
      </c>
      <c r="C21" s="31"/>
      <c r="D21" s="30"/>
      <c r="E21" s="47"/>
    </row>
  </sheetData>
  <sheetProtection algorithmName="SHA-512" hashValue="2V08NT7+uzlQfHWBJxVffcvfMIRyRoZdFBCv9FzN+ixJrGF24HMUQ79QH0Jjbxoa867PTrPwqsx1ALdtg9R0TA==" saltValue="zxQj3ba3UfjDCbtEjEQDT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0</v>
      </c>
      <c r="B1" s="36" t="s">
        <v>162</v>
      </c>
      <c r="C1" s="40" t="s">
        <v>6</v>
      </c>
      <c r="D1" s="40" t="s">
        <v>163</v>
      </c>
    </row>
    <row r="2" spans="1:4" ht="13" customHeight="1" x14ac:dyDescent="0.3">
      <c r="A2" s="40" t="s">
        <v>160</v>
      </c>
      <c r="B2" s="32" t="s">
        <v>161</v>
      </c>
      <c r="C2" s="32" t="s">
        <v>165</v>
      </c>
      <c r="D2" s="47"/>
    </row>
    <row r="3" spans="1:4" ht="13" customHeight="1" x14ac:dyDescent="0.3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nK7/nIlVjF8PA7bDsM7AUiIktnY7JSrfntdDigNSu/wYLBGP7+iBvmjCl+k/6BTofXDH6128Xw5wsJRUpyNk+A==" saltValue="MT6gv1Y2SSRCTZWrUVKR7A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5">
      <c r="A2" s="5" t="s">
        <v>168</v>
      </c>
      <c r="B2" s="45">
        <v>0.563176883151842</v>
      </c>
      <c r="C2" s="98">
        <v>0.95</v>
      </c>
      <c r="D2" s="56">
        <v>57.907989789407353</v>
      </c>
      <c r="E2" s="56" t="s">
        <v>201</v>
      </c>
      <c r="F2" s="98">
        <v>1</v>
      </c>
      <c r="G2" s="98">
        <v>1</v>
      </c>
    </row>
    <row r="3" spans="1:7" ht="15.75" customHeight="1" x14ac:dyDescent="0.25">
      <c r="A3" s="5" t="s">
        <v>169</v>
      </c>
      <c r="B3" s="45">
        <v>0</v>
      </c>
      <c r="C3" s="98">
        <v>0.95</v>
      </c>
      <c r="D3" s="56">
        <v>39.877408618072153</v>
      </c>
      <c r="E3" s="56" t="s">
        <v>201</v>
      </c>
      <c r="F3" s="98">
        <v>1</v>
      </c>
      <c r="G3" s="98">
        <v>1</v>
      </c>
    </row>
    <row r="4" spans="1:7" ht="15.75" customHeight="1" x14ac:dyDescent="0.25">
      <c r="A4" s="5" t="s">
        <v>170</v>
      </c>
      <c r="B4" s="98">
        <v>0</v>
      </c>
      <c r="C4" s="98">
        <v>0.95</v>
      </c>
      <c r="D4" s="56">
        <v>412.49823904286558</v>
      </c>
      <c r="E4" s="56" t="s">
        <v>201</v>
      </c>
      <c r="F4" s="98">
        <v>1</v>
      </c>
      <c r="G4" s="98">
        <v>1</v>
      </c>
    </row>
    <row r="5" spans="1:7" ht="15.75" customHeight="1" x14ac:dyDescent="0.25">
      <c r="A5" s="5" t="s">
        <v>171</v>
      </c>
      <c r="B5" s="98">
        <v>0</v>
      </c>
      <c r="C5" s="98">
        <v>0.95</v>
      </c>
      <c r="D5" s="56">
        <v>4.2611566933851979</v>
      </c>
      <c r="E5" s="56" t="s">
        <v>201</v>
      </c>
      <c r="F5" s="98">
        <v>1</v>
      </c>
      <c r="G5" s="98">
        <v>1</v>
      </c>
    </row>
    <row r="6" spans="1:7" ht="15.75" customHeight="1" x14ac:dyDescent="0.25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5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5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5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5">
      <c r="A10" s="11" t="s">
        <v>176</v>
      </c>
      <c r="B10" s="45">
        <v>0</v>
      </c>
      <c r="C10" s="98">
        <v>0.95</v>
      </c>
      <c r="D10" s="56">
        <v>13.009708061868061</v>
      </c>
      <c r="E10" s="56" t="s">
        <v>201</v>
      </c>
      <c r="F10" s="98">
        <v>1</v>
      </c>
      <c r="G10" s="98">
        <v>1</v>
      </c>
    </row>
    <row r="11" spans="1:7" ht="15.75" customHeight="1" x14ac:dyDescent="0.25">
      <c r="A11" s="11" t="s">
        <v>177</v>
      </c>
      <c r="B11" s="98">
        <v>0</v>
      </c>
      <c r="C11" s="98">
        <v>0.95</v>
      </c>
      <c r="D11" s="56">
        <v>13.009708061868061</v>
      </c>
      <c r="E11" s="56" t="s">
        <v>201</v>
      </c>
      <c r="F11" s="98">
        <v>1</v>
      </c>
      <c r="G11" s="98">
        <v>1</v>
      </c>
    </row>
    <row r="12" spans="1:7" ht="15.75" customHeight="1" x14ac:dyDescent="0.25">
      <c r="A12" s="11" t="s">
        <v>178</v>
      </c>
      <c r="B12" s="98">
        <v>0</v>
      </c>
      <c r="C12" s="98">
        <v>0.95</v>
      </c>
      <c r="D12" s="56">
        <v>13.009708061868061</v>
      </c>
      <c r="E12" s="56" t="s">
        <v>201</v>
      </c>
      <c r="F12" s="98">
        <v>1</v>
      </c>
      <c r="G12" s="98">
        <v>1</v>
      </c>
    </row>
    <row r="13" spans="1:7" ht="15.75" customHeight="1" x14ac:dyDescent="0.25">
      <c r="A13" s="11" t="s">
        <v>179</v>
      </c>
      <c r="B13" s="98">
        <v>0</v>
      </c>
      <c r="C13" s="98">
        <v>0.95</v>
      </c>
      <c r="D13" s="56">
        <v>13.009708061868061</v>
      </c>
      <c r="E13" s="56" t="s">
        <v>201</v>
      </c>
      <c r="F13" s="98">
        <v>1</v>
      </c>
      <c r="G13" s="98">
        <v>1</v>
      </c>
    </row>
    <row r="14" spans="1:7" ht="15.75" customHeight="1" x14ac:dyDescent="0.25">
      <c r="A14" s="5" t="s">
        <v>180</v>
      </c>
      <c r="B14" s="45">
        <v>0</v>
      </c>
      <c r="C14" s="98">
        <v>0.95</v>
      </c>
      <c r="D14" s="56">
        <v>13.009708061868061</v>
      </c>
      <c r="E14" s="56" t="s">
        <v>201</v>
      </c>
      <c r="F14" s="98">
        <v>1</v>
      </c>
      <c r="G14" s="98">
        <v>1</v>
      </c>
    </row>
    <row r="15" spans="1:7" ht="15.75" customHeight="1" x14ac:dyDescent="0.25">
      <c r="A15" s="5" t="s">
        <v>181</v>
      </c>
      <c r="B15" s="98">
        <v>0</v>
      </c>
      <c r="C15" s="98">
        <v>0.95</v>
      </c>
      <c r="D15" s="56">
        <v>13.009708061868061</v>
      </c>
      <c r="E15" s="56" t="s">
        <v>201</v>
      </c>
      <c r="F15" s="98">
        <v>1</v>
      </c>
      <c r="G15" s="98">
        <v>1</v>
      </c>
    </row>
    <row r="16" spans="1:7" ht="15.75" customHeight="1" x14ac:dyDescent="0.25">
      <c r="A16" s="5" t="s">
        <v>182</v>
      </c>
      <c r="B16" s="45">
        <v>0.65118240139994799</v>
      </c>
      <c r="C16" s="98">
        <v>0.95</v>
      </c>
      <c r="D16" s="56">
        <v>0.71647386176341188</v>
      </c>
      <c r="E16" s="56" t="s">
        <v>201</v>
      </c>
      <c r="F16" s="98">
        <v>1</v>
      </c>
      <c r="G16" s="98">
        <v>1</v>
      </c>
    </row>
    <row r="17" spans="1:7" ht="15.75" customHeight="1" x14ac:dyDescent="0.25">
      <c r="A17" s="5" t="s">
        <v>183</v>
      </c>
      <c r="B17" s="98">
        <v>0.96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" customHeight="1" x14ac:dyDescent="0.25">
      <c r="A18" s="5" t="s">
        <v>157</v>
      </c>
      <c r="B18" s="98">
        <v>0</v>
      </c>
      <c r="C18" s="98">
        <v>0.95</v>
      </c>
      <c r="D18" s="56">
        <v>9.5101355775698799</v>
      </c>
      <c r="E18" s="56" t="s">
        <v>201</v>
      </c>
      <c r="F18" s="98">
        <v>1</v>
      </c>
      <c r="G18" s="98">
        <v>1</v>
      </c>
    </row>
    <row r="19" spans="1:7" ht="15.75" customHeight="1" x14ac:dyDescent="0.25">
      <c r="A19" s="5" t="s">
        <v>158</v>
      </c>
      <c r="B19" s="98">
        <v>0</v>
      </c>
      <c r="C19" s="98">
        <v>0.95</v>
      </c>
      <c r="D19" s="56">
        <v>9.5101355775698799</v>
      </c>
      <c r="E19" s="56" t="s">
        <v>201</v>
      </c>
      <c r="F19" s="98">
        <v>1</v>
      </c>
      <c r="G19" s="98">
        <v>1</v>
      </c>
    </row>
    <row r="20" spans="1:7" ht="15.75" customHeight="1" x14ac:dyDescent="0.25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5">
      <c r="A21" s="5" t="s">
        <v>184</v>
      </c>
      <c r="B21" s="45">
        <v>0.13477720000000001</v>
      </c>
      <c r="C21" s="98">
        <v>0.95</v>
      </c>
      <c r="D21" s="56">
        <v>45.01292027832001</v>
      </c>
      <c r="E21" s="56" t="s">
        <v>201</v>
      </c>
      <c r="F21" s="98">
        <v>1</v>
      </c>
      <c r="G21" s="98">
        <v>1</v>
      </c>
    </row>
    <row r="22" spans="1:7" ht="15.75" customHeight="1" x14ac:dyDescent="0.25">
      <c r="A22" s="5" t="s">
        <v>185</v>
      </c>
      <c r="B22" s="98">
        <v>0</v>
      </c>
      <c r="C22" s="98">
        <v>0.95</v>
      </c>
      <c r="D22" s="56">
        <v>22.4493059696639</v>
      </c>
      <c r="E22" s="56" t="s">
        <v>201</v>
      </c>
      <c r="F22" s="98">
        <v>1</v>
      </c>
      <c r="G22" s="98">
        <v>1</v>
      </c>
    </row>
    <row r="23" spans="1:7" ht="15.75" customHeight="1" x14ac:dyDescent="0.25">
      <c r="A23" s="5" t="s">
        <v>186</v>
      </c>
      <c r="B23" s="98">
        <v>1.6E-2</v>
      </c>
      <c r="C23" s="98">
        <v>0.95</v>
      </c>
      <c r="D23" s="56">
        <v>4.2777930485212776</v>
      </c>
      <c r="E23" s="56" t="s">
        <v>201</v>
      </c>
      <c r="F23" s="98">
        <v>1</v>
      </c>
      <c r="G23" s="98">
        <v>1</v>
      </c>
    </row>
    <row r="24" spans="1:7" ht="15.75" customHeight="1" x14ac:dyDescent="0.25">
      <c r="A24" s="5" t="s">
        <v>187</v>
      </c>
      <c r="B24" s="45">
        <v>0.89821987703428408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5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5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5">
      <c r="A27" s="5" t="s">
        <v>190</v>
      </c>
      <c r="B27" s="45">
        <v>0.57793398268443996</v>
      </c>
      <c r="C27" s="98">
        <v>0.95</v>
      </c>
      <c r="D27" s="56">
        <v>18.576955013531052</v>
      </c>
      <c r="E27" s="56" t="s">
        <v>201</v>
      </c>
      <c r="F27" s="98">
        <v>1</v>
      </c>
      <c r="G27" s="98">
        <v>1</v>
      </c>
    </row>
    <row r="28" spans="1:7" ht="15.75" customHeight="1" x14ac:dyDescent="0.25">
      <c r="A28" s="5" t="s">
        <v>191</v>
      </c>
      <c r="B28" s="45">
        <v>0.34516190000000002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5">
      <c r="A29" s="5" t="s">
        <v>192</v>
      </c>
      <c r="B29" s="45">
        <v>0</v>
      </c>
      <c r="C29" s="98">
        <v>0.95</v>
      </c>
      <c r="D29" s="56">
        <v>113.3709035636476</v>
      </c>
      <c r="E29" s="56" t="s">
        <v>201</v>
      </c>
      <c r="F29" s="98">
        <v>1</v>
      </c>
      <c r="G29" s="98">
        <v>1</v>
      </c>
    </row>
    <row r="30" spans="1:7" ht="15.75" customHeight="1" x14ac:dyDescent="0.25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5">
      <c r="A31" s="5" t="s">
        <v>161</v>
      </c>
      <c r="B31" s="45">
        <v>0</v>
      </c>
      <c r="C31" s="98">
        <v>0.95</v>
      </c>
      <c r="D31" s="56">
        <v>0.59909969887929115</v>
      </c>
      <c r="E31" s="56" t="s">
        <v>201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0.34266350000000001</v>
      </c>
      <c r="C32" s="98">
        <v>0.95</v>
      </c>
      <c r="D32" s="56">
        <v>1.53812413297883</v>
      </c>
      <c r="E32" s="56" t="s">
        <v>201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0.97718368382144705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0.14918780000000001</v>
      </c>
      <c r="C38" s="98">
        <v>0.95</v>
      </c>
      <c r="D38" s="56">
        <v>2.7579992310105732</v>
      </c>
      <c r="E38" s="56" t="s">
        <v>201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0.52498509999999998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STWnVi+uHHjK/U7ppReUzqZtsfzoA9JOOQDltV6f7g6n6Q2GmRZ1q5fv/NBDaMEtQT1xgK6/aQbllVYK6wiJ8w==" saltValue="ZfcLzIM/l2CpCfIq+9VNJ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160</v>
      </c>
      <c r="B1" s="4" t="s">
        <v>206</v>
      </c>
      <c r="C1" s="4" t="s">
        <v>207</v>
      </c>
    </row>
    <row r="2" spans="1:3" ht="13.25" customHeight="1" x14ac:dyDescent="0.25">
      <c r="A2" s="57" t="s">
        <v>180</v>
      </c>
      <c r="B2" s="47" t="s">
        <v>190</v>
      </c>
      <c r="C2" s="47"/>
    </row>
    <row r="3" spans="1:3" ht="13.25" customHeight="1" x14ac:dyDescent="0.25">
      <c r="A3" s="57" t="s">
        <v>181</v>
      </c>
      <c r="B3" s="47" t="s">
        <v>190</v>
      </c>
      <c r="C3" s="47"/>
    </row>
    <row r="4" spans="1:3" ht="13.25" customHeight="1" x14ac:dyDescent="0.25">
      <c r="A4" s="57" t="s">
        <v>192</v>
      </c>
      <c r="B4" s="47" t="s">
        <v>185</v>
      </c>
      <c r="C4" s="47"/>
    </row>
    <row r="5" spans="1:3" ht="13.25" customHeight="1" x14ac:dyDescent="0.25">
      <c r="A5" s="57" t="s">
        <v>189</v>
      </c>
      <c r="B5" s="47" t="s">
        <v>185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dkPGMQXddc89kM/cP0/XmRub/FTDoln1z1Y3Wlz1Ac8lA30SLyv8aG4PIRu0heStjkHXU6gnDm4/cIuShjE/YA==" saltValue="OFr5iaNmlTKWLqqz4FiFA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160</v>
      </c>
    </row>
    <row r="2" spans="1:1" ht="13.25" customHeight="1" x14ac:dyDescent="0.25">
      <c r="A2" s="33" t="s">
        <v>172</v>
      </c>
    </row>
    <row r="3" spans="1:1" ht="13.25" customHeight="1" x14ac:dyDescent="0.25">
      <c r="A3" s="33" t="s">
        <v>182</v>
      </c>
    </row>
    <row r="4" spans="1:1" ht="13.25" customHeight="1" x14ac:dyDescent="0.25">
      <c r="A4" s="33" t="s">
        <v>186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sheetProtection algorithmName="SHA-512" hashValue="lQKP8PY9hUfAT9QjffJNy5Vpa81kY1MuEJqd9XsROz5ICOMExBqHK0whTC8FqEXws7jTEzsLJTM74qMF4LVMdw==" saltValue="V7vmOZTGLafnKx15vixqy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1">
        <f>'Données pop de l''année de ref'!C51</f>
        <v>2.8</v>
      </c>
      <c r="C2" s="21">
        <f>'Données pop de l''année de ref'!C52</f>
        <v>2.8</v>
      </c>
      <c r="D2" s="21">
        <f>'Données pop de l''année de ref'!C53</f>
        <v>2.8</v>
      </c>
      <c r="E2" s="21">
        <f>'Données pop de l''année de ref'!C54</f>
        <v>2.8</v>
      </c>
      <c r="F2" s="21">
        <f>'Données pop de l''année de ref'!C55</f>
        <v>2.8</v>
      </c>
    </row>
    <row r="3" spans="1:6" ht="15.75" customHeight="1" x14ac:dyDescent="0.25">
      <c r="A3" s="3" t="s">
        <v>209</v>
      </c>
      <c r="B3" s="21">
        <f>frac_mam_1month * 2.6</f>
        <v>7.4991772323846823E-2</v>
      </c>
      <c r="C3" s="21">
        <f>frac_mam_1_5months * 2.6</f>
        <v>7.4991772323846823E-2</v>
      </c>
      <c r="D3" s="21">
        <f>frac_mam_6_11months * 2.6</f>
        <v>1.222385112196196E-2</v>
      </c>
      <c r="E3" s="21">
        <f>frac_mam_12_23months * 2.6</f>
        <v>7.9277557786554403E-3</v>
      </c>
      <c r="F3" s="21">
        <f>frac_mam_24_59months * 2.6</f>
        <v>2.1845767088234439E-2</v>
      </c>
    </row>
    <row r="4" spans="1:6" ht="15.75" customHeight="1" x14ac:dyDescent="0.25">
      <c r="A4" s="3" t="s">
        <v>208</v>
      </c>
      <c r="B4" s="21">
        <f>frac_sam_1month * 2.6</f>
        <v>5.2882869914174048E-2</v>
      </c>
      <c r="C4" s="21">
        <f>frac_sam_1_5months * 2.6</f>
        <v>5.2882869914174048E-2</v>
      </c>
      <c r="D4" s="21">
        <f>frac_sam_6_11months * 2.6</f>
        <v>3.2706617610529201E-3</v>
      </c>
      <c r="E4" s="21">
        <f>frac_sam_12_23months * 2.6</f>
        <v>3.4115637652577004E-3</v>
      </c>
      <c r="F4" s="21">
        <f>frac_sam_24_59months * 2.6</f>
        <v>1.119353258982296E-2</v>
      </c>
    </row>
  </sheetData>
  <sheetProtection algorithmName="SHA-512" hashValue="JptZit1t8fyvMJE/6nu/9AbWrHg9oAcGgDSFg36pIMe2CrQ8PqiBK4L0+M5dnCecpMSOGldeEg3WSOwSndRjEQ==" saltValue="cozKBtwibyTUVKuqP7ofM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">
      <c r="A2" s="4" t="s">
        <v>86</v>
      </c>
      <c r="B2" s="5" t="s">
        <v>170</v>
      </c>
      <c r="C2" s="60">
        <v>0</v>
      </c>
      <c r="D2" s="60">
        <f>food_insecure</f>
        <v>1.7000000000000001E-2</v>
      </c>
      <c r="E2" s="60">
        <f>food_insecure</f>
        <v>1.7000000000000001E-2</v>
      </c>
      <c r="F2" s="60">
        <f>food_insecure</f>
        <v>1.7000000000000001E-2</v>
      </c>
      <c r="G2" s="60">
        <f>food_insecure</f>
        <v>1.7000000000000001E-2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185</v>
      </c>
      <c r="C5" s="60">
        <v>0</v>
      </c>
      <c r="D5" s="60">
        <v>0</v>
      </c>
      <c r="E5" s="60">
        <f>food_insecure</f>
        <v>1.7000000000000001E-2</v>
      </c>
      <c r="F5" s="60">
        <f>food_insecure</f>
        <v>1.7000000000000001E-2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191</v>
      </c>
      <c r="C7" s="60">
        <f>diarrhoea_1mo*frac_diarrhea_severe</f>
        <v>4.6000000000000006E-2</v>
      </c>
      <c r="D7" s="60">
        <f>diarrhoea_1_5mo*frac_diarrhea_severe</f>
        <v>4.6000000000000006E-2</v>
      </c>
      <c r="E7" s="60">
        <f>diarrhoea_6_11mo*frac_diarrhea_severe</f>
        <v>4.6000000000000006E-2</v>
      </c>
      <c r="F7" s="60">
        <f>diarrhoea_12_23mo*frac_diarrhea_severe</f>
        <v>4.6000000000000006E-2</v>
      </c>
      <c r="G7" s="60">
        <f>diarrhoea_24_59mo*frac_diarrhea_severe</f>
        <v>4.6000000000000006E-2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192</v>
      </c>
      <c r="C8" s="60">
        <v>0</v>
      </c>
      <c r="D8" s="60">
        <v>0</v>
      </c>
      <c r="E8" s="60">
        <f>food_insecure</f>
        <v>1.7000000000000001E-2</v>
      </c>
      <c r="F8" s="60">
        <f>food_insecure</f>
        <v>1.7000000000000001E-2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205</v>
      </c>
      <c r="C9" s="60">
        <v>0</v>
      </c>
      <c r="D9" s="60">
        <v>0</v>
      </c>
      <c r="E9" s="60">
        <f>food_insecure</f>
        <v>1.7000000000000001E-2</v>
      </c>
      <c r="F9" s="60">
        <f>food_insecure</f>
        <v>1.7000000000000001E-2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161</v>
      </c>
      <c r="C10" s="60">
        <v>0</v>
      </c>
      <c r="D10" s="60">
        <f>IF(ISBLANK(comm_deliv), frac_children_health_facility,1)</f>
        <v>0.69599999999999995</v>
      </c>
      <c r="E10" s="60">
        <f>IF(ISBLANK(comm_deliv), frac_children_health_facility,1)</f>
        <v>0.69599999999999995</v>
      </c>
      <c r="F10" s="60">
        <f>IF(ISBLANK(comm_deliv), frac_children_health_facility,1)</f>
        <v>0.69599999999999995</v>
      </c>
      <c r="G10" s="60">
        <f>IF(ISBLANK(comm_deliv), frac_children_health_facility,1)</f>
        <v>0.69599999999999995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4.6000000000000006E-2</v>
      </c>
      <c r="D12" s="60">
        <f>diarrhoea_1_5mo*frac_diarrhea_severe</f>
        <v>4.6000000000000006E-2</v>
      </c>
      <c r="E12" s="60">
        <f>diarrhoea_6_11mo*frac_diarrhea_severe</f>
        <v>4.6000000000000006E-2</v>
      </c>
      <c r="F12" s="60">
        <f>diarrhoea_12_23mo*frac_diarrhea_severe</f>
        <v>4.6000000000000006E-2</v>
      </c>
      <c r="G12" s="60">
        <f>diarrhoea_24_59mo*frac_diarrhea_severe</f>
        <v>4.6000000000000006E-2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1.7000000000000001E-2</v>
      </c>
      <c r="I15" s="60">
        <f>food_insecure</f>
        <v>1.7000000000000001E-2</v>
      </c>
      <c r="J15" s="60">
        <f>food_insecure</f>
        <v>1.7000000000000001E-2</v>
      </c>
      <c r="K15" s="60">
        <f>food_insecure</f>
        <v>1.7000000000000001E-2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0.66799999999999993</v>
      </c>
      <c r="I18" s="60">
        <f>frac_PW_health_facility</f>
        <v>0.66799999999999993</v>
      </c>
      <c r="J18" s="60">
        <f>frac_PW_health_facility</f>
        <v>0.66799999999999993</v>
      </c>
      <c r="K18" s="60">
        <f>frac_PW_health_facility</f>
        <v>0.66799999999999993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0.871</v>
      </c>
      <c r="M24" s="60">
        <f>famplan_unmet_need</f>
        <v>0.871</v>
      </c>
      <c r="N24" s="60">
        <f>famplan_unmet_need</f>
        <v>0.871</v>
      </c>
      <c r="O24" s="60">
        <f>famplan_unmet_need</f>
        <v>0.871</v>
      </c>
    </row>
    <row r="25" spans="1:15" ht="15.75" customHeight="1" x14ac:dyDescent="0.25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6.4420766040039074E-2</v>
      </c>
      <c r="M25" s="60">
        <f>(1-food_insecure)*(0.49)+food_insecure*(0.7)</f>
        <v>0.49357000000000001</v>
      </c>
      <c r="N25" s="60">
        <f>(1-food_insecure)*(0.49)+food_insecure*(0.7)</f>
        <v>0.49357000000000001</v>
      </c>
      <c r="O25" s="60">
        <f>(1-food_insecure)*(0.49)+food_insecure*(0.7)</f>
        <v>0.49357000000000001</v>
      </c>
    </row>
    <row r="26" spans="1:15" ht="15.75" customHeight="1" x14ac:dyDescent="0.25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2.760889973144532E-2</v>
      </c>
      <c r="M26" s="60">
        <f>(1-food_insecure)*(0.21)+food_insecure*(0.3)</f>
        <v>0.21153</v>
      </c>
      <c r="N26" s="60">
        <f>(1-food_insecure)*(0.21)+food_insecure*(0.3)</f>
        <v>0.21153</v>
      </c>
      <c r="O26" s="60">
        <f>(1-food_insecure)*(0.21)+food_insecure*(0.3)</f>
        <v>0.21153</v>
      </c>
    </row>
    <row r="27" spans="1:15" ht="15.75" customHeight="1" x14ac:dyDescent="0.25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3.849035375976563E-2</v>
      </c>
      <c r="M27" s="60">
        <f>(1-food_insecure)*(0.3)</f>
        <v>0.2949</v>
      </c>
      <c r="N27" s="60">
        <f>(1-food_insecure)*(0.3)</f>
        <v>0.2949</v>
      </c>
      <c r="O27" s="60">
        <f>(1-food_insecure)*(0.3)</f>
        <v>0.2949</v>
      </c>
    </row>
    <row r="28" spans="1:15" ht="15.75" customHeight="1" x14ac:dyDescent="0.25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0.86947998046874997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JIlX4J+kf//tjrDF1r1qYjd3nKcQWqhgxIRg8+NhlnmPslgaXazqaAo+84+6El3swo1RoCN3vzEG3NoUHvRgcw==" saltValue="h16Nkp8Ajw7HyfQF9zhaR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201</v>
      </c>
    </row>
    <row r="2" spans="1:1" x14ac:dyDescent="0.25">
      <c r="A2" s="8" t="s">
        <v>212</v>
      </c>
    </row>
    <row r="3" spans="1:1" x14ac:dyDescent="0.25">
      <c r="A3" s="8" t="s">
        <v>213</v>
      </c>
    </row>
    <row r="4" spans="1:1" x14ac:dyDescent="0.25">
      <c r="A4" s="8" t="s">
        <v>214</v>
      </c>
    </row>
  </sheetData>
  <sheetProtection algorithmName="SHA-512" hashValue="CClue7cY8M08Yh51x52Jg4bPYHIuH+6PmyPEEcLDZ65rEYBvlOH5ed7yEUQM+a3gpJc8cOsKi6H6sOcRGIQ8fg==" saltValue="SNbiw5iuxsCcvbgXH9wE5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4" customHeight="1" x14ac:dyDescent="0.3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EWb7JbAXgep1NE+tbnHmRkTd3f9nClhfaflW3LQxwNIy0QD+YYMvOZ4ZlxNn02nDdjsB+uW2Me8uRLyvk4O5cA==" saltValue="kJ3bAJ5HoXHtWrmGbOSTZ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C12" sqref="C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3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+zusPk7iLEGFqfHo+D6MA/df3Iamh2tUk9fYd33yVe5JdmmOxRkt3BR+Ss17QITLKE44Ld1wNy6ihDm8k17XPA==" saltValue="cirZTYyzZTH3f2R1+945C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ht="13.25" customHeight="1" x14ac:dyDescent="0.25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ht="13.25" customHeight="1" x14ac:dyDescent="0.25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ht="13.25" customHeight="1" x14ac:dyDescent="0.25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ht="13.25" customHeight="1" x14ac:dyDescent="0.25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ht="13.25" customHeight="1" x14ac:dyDescent="0.25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ht="13.25" customHeight="1" x14ac:dyDescent="0.25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ht="13.25" customHeight="1" x14ac:dyDescent="0.25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ht="13.25" customHeight="1" x14ac:dyDescent="0.25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ht="13.25" customHeight="1" x14ac:dyDescent="0.25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ht="13.25" customHeight="1" x14ac:dyDescent="0.25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5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5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5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5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5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5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ajhXzUrcotZ02XNNepL8m/maaUjmbqPzDB/Nio5gAxexBjxupp1mXhugemQs0K62sY4k4DWkT4oNB1w8WVbAOA==" saltValue="6uCOLBOIdYcF1jgh2BV/e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ht="13.25" customHeight="1" x14ac:dyDescent="0.25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ht="13.25" customHeight="1" x14ac:dyDescent="0.25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ht="13.25" customHeight="1" x14ac:dyDescent="0.25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ht="13.25" customHeight="1" x14ac:dyDescent="0.25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ht="13.25" customHeight="1" x14ac:dyDescent="0.25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ht="13.25" customHeight="1" x14ac:dyDescent="0.25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ht="13.25" customHeight="1" x14ac:dyDescent="0.25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ht="13.25" customHeight="1" x14ac:dyDescent="0.25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ht="13.25" customHeight="1" x14ac:dyDescent="0.25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ht="13.25" customHeight="1" x14ac:dyDescent="0.25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ht="13.25" customHeight="1" x14ac:dyDescent="0.25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ht="13.25" customHeight="1" x14ac:dyDescent="0.25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ht="13.25" customHeight="1" x14ac:dyDescent="0.25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CKiEI10Wchnvdq4UP1Rxrn+NsG5Y75GIiaGMF3cpLoknVTN8QjYYzZWnunhWfNnXzpE6SJ3eH1k7smfhhYwTWg==" saltValue="G3wNrmONpweEq45MzIgag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ht="13" customHeight="1" x14ac:dyDescent="0.3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109</v>
      </c>
      <c r="C5" s="8" t="s">
        <v>153</v>
      </c>
      <c r="D5" s="88">
        <f>IFERROR((MIN(1,1.56*'Dist. l''allaitement maternel'!$C$2)/(1-MIN(1,1.56*'Dist. l''allaitement maternel'!$C$2))) /
('Dist. l''allaitement maternel'!$C$2/(1-'Dist. l''allaitement maternel'!$C$2)), 1.56)</f>
        <v>2.9576914451023844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154</v>
      </c>
      <c r="D6" s="88">
        <f>IFERROR((MIN(1,1.56*'Dist. l''allaitement maternel'!$C$2)/(1-MIN(1,1.56*'Dist. l''allaitement maternel'!$C$2))) /
('Dist. l''allaitement maternel'!$C$2/(1-'Dist. l''allaitement maternel'!$C$2)), 1.56)</f>
        <v>2.9576914451023844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96</v>
      </c>
      <c r="C8" s="8" t="s">
        <v>153</v>
      </c>
      <c r="D8" s="88">
        <v>1</v>
      </c>
      <c r="E8" s="88">
        <f>IFERROR((MIN(1,1.56*'Dist. l''allaitement maternel'!$D$2)/(1-MIN(1,1.56*'Dist. l''allaitement maternel'!$D$2))) /
('Dist. l''allaitement maternel'!$D$2/(1-'Dist. l''allaitement maternel'!$D$2)), 1.56)</f>
        <v>2.2031498290646367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154</v>
      </c>
      <c r="D9" s="88">
        <v>1</v>
      </c>
      <c r="E9" s="88">
        <f>IFERROR((MIN(1,1.56*'Dist. l''allaitement maternel'!$D$2)/(1-MIN(1,1.56*'Dist. l''allaitement maternel'!$D$2))) /
('Dist. l''allaitement maternel'!$D$2/(1-'Dist. l''allaitement maternel'!$D$2)), 1.56)</f>
        <v>2.2031498290646367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97</v>
      </c>
      <c r="C11" s="8" t="s">
        <v>153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154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154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155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155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155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97</v>
      </c>
      <c r="C28" s="8" t="s">
        <v>153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154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155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156</v>
      </c>
      <c r="C34" s="8" t="s">
        <v>155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97</v>
      </c>
      <c r="C45" s="8" t="s">
        <v>153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154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156</v>
      </c>
      <c r="C51" s="8" t="s">
        <v>155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ht="13" customHeight="1" x14ac:dyDescent="0.3">
      <c r="A55" s="4" t="s">
        <v>236</v>
      </c>
      <c r="B55" s="103" t="s">
        <v>100</v>
      </c>
      <c r="C55" s="8" t="s">
        <v>153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154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155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109</v>
      </c>
      <c r="C58" s="8" t="s">
        <v>153</v>
      </c>
      <c r="D58" s="88">
        <f>IFERROR((MIN(1,1.37*'Dist. l''allaitement maternel'!$C$2)/(1-MIN(1,1.37*'Dist. l''allaitement maternel'!$C$2))) /
('Dist. l''allaitement maternel'!$C$2/(1-'Dist. l''allaitement maternel'!$C$2)), 1.37)</f>
        <v>1.9919397965368808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154</v>
      </c>
      <c r="D59" s="88">
        <f>IFERROR((MIN(1,1.37*'Dist. l''allaitement maternel'!$C$2)/(1-MIN(1,1.37*'Dist. l''allaitement maternel'!$C$2))) /
('Dist. l''allaitement maternel'!$C$2/(1-'Dist. l''allaitement maternel'!$C$2)), 1.37)</f>
        <v>1.9919397965368808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155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96</v>
      </c>
      <c r="C61" s="8" t="s">
        <v>153</v>
      </c>
      <c r="D61" s="88">
        <f t="shared" si="2"/>
        <v>1</v>
      </c>
      <c r="E61" s="88">
        <f>IFERROR((MIN(1,1.37*'Dist. l''allaitement maternel'!$D$2)/(1-MIN(1,1.37*'Dist. l''allaitement maternel'!$D$2))) /
('Dist. l''allaitement maternel'!$D$2/(1-'Dist. l''allaitement maternel'!$D$2)), 1.37)</f>
        <v>1.6973881804257442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154</v>
      </c>
      <c r="D62" s="88">
        <f t="shared" si="2"/>
        <v>1</v>
      </c>
      <c r="E62" s="88">
        <f>IFERROR((MIN(1,1.37*'Dist. l''allaitement maternel'!$D$2)/(1-MIN(1,1.37*'Dist. l''allaitement maternel'!$D$2))) /
('Dist. l''allaitement maternel'!$D$2/(1-'Dist. l''allaitement maternel'!$D$2)), 1.37)</f>
        <v>1.6973881804257442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155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97</v>
      </c>
      <c r="C64" s="8" t="s">
        <v>153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154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155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98</v>
      </c>
      <c r="C67" s="8" t="s">
        <v>153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154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155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156</v>
      </c>
      <c r="C70" s="8" t="s">
        <v>155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100</v>
      </c>
      <c r="C72" s="8" t="s">
        <v>153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154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155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109</v>
      </c>
      <c r="C75" s="8" t="s">
        <v>153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154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155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96</v>
      </c>
      <c r="C78" s="8" t="s">
        <v>153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154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155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97</v>
      </c>
      <c r="C81" s="8" t="s">
        <v>153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154</v>
      </c>
      <c r="D82" s="88">
        <f t="shared" ref="D82:H87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155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98</v>
      </c>
      <c r="C84" s="8" t="s">
        <v>153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154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155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156</v>
      </c>
      <c r="C87" s="8" t="s">
        <v>155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100</v>
      </c>
      <c r="C89" s="8" t="s">
        <v>153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154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155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109</v>
      </c>
      <c r="C92" s="8" t="s">
        <v>153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154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155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96</v>
      </c>
      <c r="C95" s="8" t="s">
        <v>153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154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155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97</v>
      </c>
      <c r="C98" s="8" t="s">
        <v>153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154</v>
      </c>
      <c r="D99" s="88">
        <f t="shared" ref="D99:H104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155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98</v>
      </c>
      <c r="C101" s="8" t="s">
        <v>153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154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155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156</v>
      </c>
      <c r="C104" s="8" t="s">
        <v>155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ht="13" customHeight="1" x14ac:dyDescent="0.3">
      <c r="A108" s="4" t="s">
        <v>240</v>
      </c>
      <c r="B108" s="103" t="s">
        <v>100</v>
      </c>
      <c r="C108" s="8" t="s">
        <v>153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154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155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109</v>
      </c>
      <c r="C111" s="8" t="s">
        <v>153</v>
      </c>
      <c r="D111" s="88">
        <f>IFERROR((MIN(1,1.77*'Dist. l''allaitement maternel'!$C$2)/(1-MIN(1,1.77*'Dist. l''allaitement maternel'!$C$2))) /
('Dist. l''allaitement maternel'!$C$2/(1-'Dist. l''allaitement maternel'!$C$2)), 1.77)</f>
        <v>5.0538538122873442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154</v>
      </c>
      <c r="D112" s="88">
        <f>IFERROR((MIN(1,1.77*'Dist. l''allaitement maternel'!$C$2)/(1-MIN(1,1.77*'Dist. l''allaitement maternel'!$C$2))) /
('Dist. l''allaitement maternel'!$C$2/(1-'Dist. l''allaitement maternel'!$C$2)), 1.77)</f>
        <v>5.0538538122873442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155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96</v>
      </c>
      <c r="C114" s="8" t="s">
        <v>153</v>
      </c>
      <c r="D114" s="88">
        <f t="shared" si="12"/>
        <v>1</v>
      </c>
      <c r="E114" s="88">
        <f>IFERROR((MIN(1,1.77*'Dist. l''allaitement maternel'!$D$2)/(1-MIN(1,1.77*'Dist. l''allaitement maternel'!$D$2))) /
('Dist. l''allaitement maternel'!$D$2/(1-'Dist. l''allaitement maternel'!$D$2)), 1.77)</f>
        <v>2.9568695530806011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154</v>
      </c>
      <c r="D115" s="88">
        <f t="shared" si="12"/>
        <v>1</v>
      </c>
      <c r="E115" s="88">
        <f>IFERROR((MIN(1,1.77*'Dist. l''allaitement maternel'!$D$2)/(1-MIN(1,1.77*'Dist. l''allaitement maternel'!$D$2))) /
('Dist. l''allaitement maternel'!$D$2/(1-'Dist. l''allaitement maternel'!$D$2)), 1.77)</f>
        <v>2.9568695530806011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155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97</v>
      </c>
      <c r="C117" s="8" t="s">
        <v>153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154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155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98</v>
      </c>
      <c r="C120" s="8" t="s">
        <v>153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154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155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156</v>
      </c>
      <c r="C123" s="8" t="s">
        <v>155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100</v>
      </c>
      <c r="C125" s="8" t="s">
        <v>153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154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155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109</v>
      </c>
      <c r="C128" s="8" t="s">
        <v>153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154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155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96</v>
      </c>
      <c r="C131" s="8" t="s">
        <v>153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154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155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97</v>
      </c>
      <c r="C134" s="8" t="s">
        <v>153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154</v>
      </c>
      <c r="D135" s="88">
        <f t="shared" ref="D135:H140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155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98</v>
      </c>
      <c r="C137" s="8" t="s">
        <v>153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154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155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156</v>
      </c>
      <c r="C140" s="8" t="s">
        <v>155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100</v>
      </c>
      <c r="C142" s="8" t="s">
        <v>153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154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155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109</v>
      </c>
      <c r="C145" s="8" t="s">
        <v>153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154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155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96</v>
      </c>
      <c r="C148" s="8" t="s">
        <v>153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154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155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97</v>
      </c>
      <c r="C151" s="8" t="s">
        <v>153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154</v>
      </c>
      <c r="D152" s="88">
        <f t="shared" ref="D152:H157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155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98</v>
      </c>
      <c r="C154" s="8" t="s">
        <v>153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154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155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156</v>
      </c>
      <c r="C157" s="8" t="s">
        <v>155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FCz0AUF8chCB68utfKMQpDSDhFb+s6b9VOR8ktHmIoDMHdYS2vayAjIP/KGwaZ86syFUZr4+rAQHJWYUe/q0aQ==" saltValue="YfiACXoXFAsP+t2d97p/uA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C31" sqref="C31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245</v>
      </c>
      <c r="C11" s="74"/>
      <c r="D11" s="75"/>
      <c r="E11" s="75"/>
      <c r="F11" s="75"/>
    </row>
    <row r="12" spans="1:6" ht="15.75" customHeight="1" x14ac:dyDescent="0.3">
      <c r="A12" s="4" t="s">
        <v>246</v>
      </c>
      <c r="C12" s="73"/>
      <c r="D12" s="64"/>
      <c r="E12" s="64"/>
      <c r="F12" s="64"/>
    </row>
    <row r="13" spans="1:6" ht="15.75" customHeight="1" x14ac:dyDescent="0.25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5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79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80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81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37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38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39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40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262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3">
      <c r="A39" s="4" t="s">
        <v>251</v>
      </c>
      <c r="C39" s="73"/>
      <c r="D39" s="64"/>
      <c r="E39" s="64"/>
      <c r="F39" s="64"/>
    </row>
    <row r="40" spans="1:6" ht="15.75" customHeight="1" x14ac:dyDescent="0.25">
      <c r="B40" s="11" t="s">
        <v>256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257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258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5">
      <c r="B45" s="5" t="s">
        <v>78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79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80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81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82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83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84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85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3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5">
      <c r="B58" s="5" t="s">
        <v>37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38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39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40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263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3">
      <c r="A66" s="4" t="s">
        <v>254</v>
      </c>
      <c r="C66" s="73"/>
      <c r="D66" s="64"/>
      <c r="E66" s="64"/>
      <c r="F66" s="64"/>
    </row>
    <row r="67" spans="1:6" ht="15.75" customHeight="1" x14ac:dyDescent="0.25">
      <c r="B67" s="11" t="s">
        <v>259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260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261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5">
      <c r="B72" s="5" t="s">
        <v>78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79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80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81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82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83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84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85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YYVGeZHJNdQqOK2m33fvbk4w3wPDXFHOXffxAuJlCcA7KjNg4T1V14WlimGnFW40vn8nYzt0+CULKRIcGS20Rw==" saltValue="m756+inw+trAPY3utdUgY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30" sqref="D30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278</v>
      </c>
    </row>
    <row r="29" spans="1:16" ht="13" customHeight="1" x14ac:dyDescent="0.3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271</v>
      </c>
    </row>
    <row r="56" spans="1:16" ht="26" customHeight="1" x14ac:dyDescent="0.3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275</v>
      </c>
    </row>
    <row r="65" spans="1:16" ht="26" customHeight="1" x14ac:dyDescent="0.3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78</v>
      </c>
      <c r="C66" s="3" t="s">
        <v>129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79</v>
      </c>
      <c r="C70" s="3" t="s">
        <v>129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80</v>
      </c>
      <c r="C74" s="3" t="s">
        <v>129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277</v>
      </c>
    </row>
    <row r="104" spans="1:16" ht="26" customHeight="1" x14ac:dyDescent="0.3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ht="13" customHeight="1" x14ac:dyDescent="0.3">
      <c r="A113" s="4"/>
      <c r="B113" s="8" t="s">
        <v>87</v>
      </c>
      <c r="C113" s="3" t="s">
        <v>10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267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268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269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88</v>
      </c>
      <c r="C117" s="3" t="s">
        <v>10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267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268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269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90</v>
      </c>
      <c r="C121" s="3" t="s">
        <v>10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267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268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269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91</v>
      </c>
      <c r="C125" s="3" t="s">
        <v>10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267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268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269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89</v>
      </c>
      <c r="C129" s="3" t="s">
        <v>10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267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268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269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95</v>
      </c>
      <c r="C133" s="3" t="s">
        <v>10</v>
      </c>
      <c r="D133" s="91">
        <f t="shared" ref="D133:H136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267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268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269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ht="13" customHeight="1" x14ac:dyDescent="0.3">
      <c r="A140" s="4"/>
      <c r="B140" s="8" t="s">
        <v>87</v>
      </c>
      <c r="C140" s="3" t="s">
        <v>10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267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209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208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88</v>
      </c>
      <c r="C144" s="3" t="s">
        <v>10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267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209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208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90</v>
      </c>
      <c r="C148" s="3" t="s">
        <v>10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267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209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208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91</v>
      </c>
      <c r="C152" s="3" t="s">
        <v>10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267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209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208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89</v>
      </c>
      <c r="C156" s="3" t="s">
        <v>10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267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209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208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95</v>
      </c>
      <c r="C160" s="3" t="s">
        <v>10</v>
      </c>
      <c r="D160" s="91">
        <f t="shared" ref="D160:H163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267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209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208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ht="13" customHeight="1" x14ac:dyDescent="0.3">
      <c r="A167" s="4"/>
      <c r="B167" s="8" t="s">
        <v>101</v>
      </c>
      <c r="C167" s="3" t="s">
        <v>273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274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102</v>
      </c>
      <c r="C169" s="3" t="s">
        <v>273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274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103</v>
      </c>
      <c r="C171" s="3" t="s">
        <v>273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274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ht="13" customHeight="1" x14ac:dyDescent="0.3">
      <c r="A176" s="82"/>
      <c r="B176" s="8" t="s">
        <v>78</v>
      </c>
      <c r="C176" s="3" t="s">
        <v>129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130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131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132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79</v>
      </c>
      <c r="C180" s="3" t="s">
        <v>129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130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131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132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80</v>
      </c>
      <c r="C184" s="3" t="s">
        <v>129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130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131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132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82</v>
      </c>
      <c r="C188" s="3" t="s">
        <v>129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130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131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132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87</v>
      </c>
      <c r="C192" s="3" t="s">
        <v>129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130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131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132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88</v>
      </c>
      <c r="C196" s="3" t="s">
        <v>129</v>
      </c>
      <c r="D196" s="91">
        <f t="shared" ref="D196:G211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130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131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132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90</v>
      </c>
      <c r="C200" s="3" t="s">
        <v>129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130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131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132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89</v>
      </c>
      <c r="C204" s="3" t="s">
        <v>129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130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131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132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92</v>
      </c>
      <c r="C208" s="3" t="s">
        <v>129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130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131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132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ht="13" customHeight="1" x14ac:dyDescent="0.3">
      <c r="A215" s="4"/>
      <c r="C215" s="3" t="s">
        <v>129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130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131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132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ht="13" customHeight="1" x14ac:dyDescent="0.3">
      <c r="A223" s="4"/>
      <c r="B223" s="8" t="s">
        <v>87</v>
      </c>
      <c r="C223" s="3" t="s">
        <v>10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267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268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269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88</v>
      </c>
      <c r="C227" s="3" t="s">
        <v>10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267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268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269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90</v>
      </c>
      <c r="C231" s="3" t="s">
        <v>10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267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268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269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91</v>
      </c>
      <c r="C235" s="3" t="s">
        <v>10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267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268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269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89</v>
      </c>
      <c r="C239" s="3" t="s">
        <v>10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267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268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269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95</v>
      </c>
      <c r="C243" s="3" t="s">
        <v>10</v>
      </c>
      <c r="D243" s="91">
        <f t="shared" ref="D243:H246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267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268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269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ht="13" customHeight="1" x14ac:dyDescent="0.3">
      <c r="A250" s="4"/>
      <c r="B250" s="8" t="s">
        <v>87</v>
      </c>
      <c r="C250" s="3" t="s">
        <v>10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267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209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208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88</v>
      </c>
      <c r="C254" s="3" t="s">
        <v>10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267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209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208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90</v>
      </c>
      <c r="C258" s="3" t="s">
        <v>10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267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209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208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91</v>
      </c>
      <c r="C262" s="3" t="s">
        <v>10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267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209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208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89</v>
      </c>
      <c r="C266" s="3" t="s">
        <v>10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267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209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208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95</v>
      </c>
      <c r="C270" s="3" t="s">
        <v>10</v>
      </c>
      <c r="D270" s="91">
        <f t="shared" ref="D270:H273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267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209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208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ht="13" customHeight="1" x14ac:dyDescent="0.3">
      <c r="A277" s="4"/>
      <c r="B277" s="8" t="s">
        <v>101</v>
      </c>
      <c r="C277" s="3" t="s">
        <v>273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274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102</v>
      </c>
      <c r="C279" s="3" t="s">
        <v>273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274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103</v>
      </c>
      <c r="C281" s="3" t="s">
        <v>273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274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ht="13" customHeight="1" x14ac:dyDescent="0.3">
      <c r="A286" s="82"/>
      <c r="B286" s="8" t="s">
        <v>78</v>
      </c>
      <c r="C286" s="3" t="s">
        <v>129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130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131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132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79</v>
      </c>
      <c r="C290" s="3" t="s">
        <v>129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130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131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132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80</v>
      </c>
      <c r="C294" s="3" t="s">
        <v>129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130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131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132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82</v>
      </c>
      <c r="C298" s="3" t="s">
        <v>129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130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131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132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87</v>
      </c>
      <c r="C302" s="3" t="s">
        <v>129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130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131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132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88</v>
      </c>
      <c r="C306" s="3" t="s">
        <v>129</v>
      </c>
      <c r="D306" s="91">
        <f t="shared" ref="D306:G321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130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131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132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90</v>
      </c>
      <c r="C310" s="3" t="s">
        <v>129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130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131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132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89</v>
      </c>
      <c r="C314" s="3" t="s">
        <v>129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130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131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132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92</v>
      </c>
      <c r="C318" s="3" t="s">
        <v>129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130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131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132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ht="13" customHeight="1" x14ac:dyDescent="0.3">
      <c r="A325" s="4"/>
      <c r="C325" s="3" t="s">
        <v>129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130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131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132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KFFHy4OLXTvkFcfaTYVGt24+WBVIBF6Fzulu/y74gjC87rV2NeAB73F0eGTWJZnq4V+I18rD25HxXTD6w0nbWA==" saltValue="Kc8mbtWYC1biNBqYbg77D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C29" sqref="C29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233</v>
      </c>
    </row>
    <row r="2" spans="1:7" ht="14.25" customHeight="1" x14ac:dyDescent="0.3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5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282</v>
      </c>
    </row>
    <row r="6" spans="1:7" ht="14.25" customHeight="1" x14ac:dyDescent="0.25">
      <c r="B6" s="5" t="s">
        <v>192</v>
      </c>
      <c r="C6" s="90">
        <v>1</v>
      </c>
      <c r="D6" s="90">
        <v>1</v>
      </c>
      <c r="E6" s="90">
        <f>IF(ISBLANK('Dist. de l''état nutritionnel'!$E$4),0.64, (0.64*SUM('Dist. de l''état nutritionnel'!$E$4:$E$5)/(1-0.64*SUM('Dist. de l''état nutritionnel'!$E$4:$E$5)))
/ (SUM('Dist. de l''état nutritionnel'!$E$4:$E$5)/(1-SUM('Dist. de l''état nutritionnel'!$E$4:$E$5))))</f>
        <v>0.62343880778540084</v>
      </c>
      <c r="F6" s="90">
        <f>IF(ISBLANK('Dist. de l''état nutritionnel'!$F$4),0.64, (0.64*SUM('Dist. de l''état nutritionnel'!$F$4:$F$5)/(1-0.64*SUM('Dist. de l''état nutritionnel'!$F$4:$F$5)))/ (SUM('Dist. de l''état nutritionnel'!$F$4:$F$5)/(1-SUM('Dist. de l''état nutritionnel'!$F$4:$F$5))))</f>
        <v>0.60600268074315067</v>
      </c>
      <c r="G6" s="90">
        <v>1</v>
      </c>
    </row>
    <row r="7" spans="1:7" ht="14.25" customHeight="1" x14ac:dyDescent="0.25">
      <c r="B7" s="5" t="s">
        <v>185</v>
      </c>
      <c r="C7" s="90">
        <v>1</v>
      </c>
      <c r="D7" s="90">
        <v>1</v>
      </c>
      <c r="E7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0.87227620857411126</v>
      </c>
      <c r="F7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0.86384581299374996</v>
      </c>
      <c r="G7" s="90">
        <v>1</v>
      </c>
    </row>
    <row r="8" spans="1:7" ht="14.25" customHeight="1" x14ac:dyDescent="0.25">
      <c r="B8" s="5" t="s">
        <v>205</v>
      </c>
      <c r="C8" s="90">
        <v>1</v>
      </c>
      <c r="D8" s="90">
        <v>1</v>
      </c>
      <c r="E8" s="90">
        <f>IF(ISBLANK('Dist. de l''état nutritionnel'!$E$4),0.88, (0.88*SUM('Dist. de l''état nutritionnel'!$E$4:$E$5)/(1-0.88*SUM('Dist. de l''état nutritionnel'!$E$4:$E$5)))/ (SUM('Dist. de l''état nutritionnel'!$E$4:$E$5)/(1-SUM('Dist. de l''état nutritionnel'!$E$4:$E$5))))</f>
        <v>0.87227620857411126</v>
      </c>
      <c r="F8" s="90">
        <f>IF(ISBLANK('Dist. de l''état nutritionnel'!$F$4),0.88, (0.88*SUM('Dist. de l''état nutritionnel'!$F$4:$F$5)/(1-0.88*SUM('Dist. de l''état nutritionnel'!$F$4:$F$5)))/ (SUM('Dist. de l''état nutritionnel'!$F$4:$F$5)/(1-SUM('Dist. de l''état nutritionnel'!$F$4:$F$5))))</f>
        <v>0.86384581299374996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283</v>
      </c>
    </row>
    <row r="15" spans="1:7" ht="14.25" customHeight="1" x14ac:dyDescent="0.3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288</v>
      </c>
    </row>
    <row r="20" spans="1:7" s="14" customFormat="1" ht="14.25" customHeight="1" x14ac:dyDescent="0.3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5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233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5">
      <c r="B26" s="11" t="s">
        <v>289</v>
      </c>
      <c r="C26" s="90" t="s">
        <v>11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290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291</v>
      </c>
    </row>
    <row r="29" spans="1:7" x14ac:dyDescent="0.25">
      <c r="B29" s="5" t="s">
        <v>292</v>
      </c>
      <c r="C29" s="90">
        <f t="shared" ref="C29:D32" si="0">IF(C6=1,1,C6*0.9)</f>
        <v>1</v>
      </c>
      <c r="D29" s="90">
        <f t="shared" si="0"/>
        <v>1</v>
      </c>
      <c r="E29" s="90">
        <f>IF(ISBLANK('Dist. de l''état nutritionnel'!E$4),0.44, (0.44*SUM('Dist. de l''état nutritionnel'!E$4:E$5)/(1-0.44*SUM('Dist. de l''état nutritionnel'!E$4:E$5)))/ (SUM('Dist. de l''état nutritionnel'!E$4:E$5)/(1-SUM('Dist. de l''état nutritionnel'!E$4:E$5))))</f>
        <v>0.42253973438077425</v>
      </c>
      <c r="F29" s="90">
        <f>IF(ISBLANK('Dist. de l''état nutritionnel'!F$4),0.44, (0.44*SUM('Dist. de l''état nutritionnel'!F$4:F$5)/(1-0.44*SUM('Dist. de l''état nutritionnel'!F$4:F$5)))/ (SUM('Dist. de l''état nutritionnel'!F$4:F$5)/(1-SUM('Dist. de l''état nutritionnel'!F$4:F$5))))</f>
        <v>0.40468398651129872</v>
      </c>
      <c r="G29" s="90">
        <f>IF(G6=1,1,G6*0.9)</f>
        <v>1</v>
      </c>
    </row>
    <row r="30" spans="1:7" x14ac:dyDescent="0.25">
      <c r="B30" s="5" t="s">
        <v>293</v>
      </c>
      <c r="C30" s="90">
        <f t="shared" si="0"/>
        <v>1</v>
      </c>
      <c r="D30" s="90">
        <f t="shared" si="0"/>
        <v>1</v>
      </c>
      <c r="E30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0.84069481753650588</v>
      </c>
      <c r="F30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0.83058475644844909</v>
      </c>
      <c r="G30" s="90">
        <f>IF(G7=1,1,G7*0.9)</f>
        <v>1</v>
      </c>
    </row>
    <row r="31" spans="1:7" x14ac:dyDescent="0.25">
      <c r="B31" s="5" t="s">
        <v>315</v>
      </c>
      <c r="C31" s="90">
        <f t="shared" si="0"/>
        <v>1</v>
      </c>
      <c r="D31" s="90">
        <f t="shared" si="0"/>
        <v>1</v>
      </c>
      <c r="E31" s="90">
        <f>IF(ISBLANK('Dist. de l''état nutritionnel'!E$4),0.85, (0.85*SUM('Dist. de l''état nutritionnel'!E$4:E$5)/(1-0.85*SUM('Dist. de l''état nutritionnel'!E$4:E$5)))/ (SUM('Dist. de l''état nutritionnel'!E$4:E$5)/(1-SUM('Dist. de l''état nutritionnel'!E$4:E$5))))</f>
        <v>0.84069481753650588</v>
      </c>
      <c r="F31" s="90">
        <f>IF(ISBLANK('Dist. de l''état nutritionnel'!F$4),0.85, (0.85*SUM('Dist. de l''état nutritionnel'!F$4:F$5)/(1-0.85*SUM('Dist. de l''état nutritionnel'!F$4:F$5)))/ (SUM('Dist. de l''état nutritionnel'!F$4:F$5)/(1-SUM('Dist. de l''état nutritionnel'!F$4:F$5))))</f>
        <v>0.83058475644844909</v>
      </c>
      <c r="G31" s="90">
        <f>IF(G8=1,1,G8*0.9)</f>
        <v>1</v>
      </c>
    </row>
    <row r="32" spans="1:7" x14ac:dyDescent="0.25">
      <c r="B32" s="5" t="s">
        <v>294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295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283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279</v>
      </c>
      <c r="B38" s="5" t="s">
        <v>297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298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121</v>
      </c>
      <c r="B40" s="11" t="s">
        <v>299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300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5">
      <c r="B44" s="11" t="s">
        <v>301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233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5">
      <c r="B49" s="11" t="s">
        <v>302</v>
      </c>
      <c r="C49" s="90" t="s">
        <v>11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303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304</v>
      </c>
    </row>
    <row r="52" spans="1:7" x14ac:dyDescent="0.25">
      <c r="B52" s="5" t="s">
        <v>305</v>
      </c>
      <c r="C52" s="90">
        <f t="shared" ref="C52:D55" si="3">IF(C6=1,1,C6*1.1)</f>
        <v>1</v>
      </c>
      <c r="D52" s="90">
        <f t="shared" si="3"/>
        <v>1</v>
      </c>
      <c r="E52" s="90">
        <f>IF(ISBLANK('Dist. de l''état nutritionnel'!E$4),0.92, (0.92*SUM('Dist. de l''état nutritionnel'!E$4:E$5)/(1-0.92*SUM('Dist. de l''état nutritionnel'!E$4:E$5)))/ (SUM('Dist. de l''état nutritionnel'!E$4:E$5)/(1-SUM('Dist. de l''état nutritionnel'!E$4:E$5))))</f>
        <v>0.91460095556182774</v>
      </c>
      <c r="F52" s="90">
        <f>IF(ISBLANK('Dist. de l''état nutritionnel'!F$4),0.92, (0.92*SUM('Dist. de l''état nutritionnel'!F$4:F$5)/(1-0.92*SUM('Dist. de l''état nutritionnel'!F$4:F$5)))/ (SUM('Dist. de l''état nutritionnel'!F$4:F$5)/(1-SUM('Dist. de l''état nutritionnel'!F$4:F$5))))</f>
        <v>0.9086717032135414</v>
      </c>
      <c r="G52" s="90">
        <f>IF(G6=1,1,G6*1.1)</f>
        <v>1</v>
      </c>
    </row>
    <row r="53" spans="1:7" x14ac:dyDescent="0.25">
      <c r="B53" s="5" t="s">
        <v>306</v>
      </c>
      <c r="C53" s="90">
        <f t="shared" si="3"/>
        <v>1</v>
      </c>
      <c r="D53" s="90">
        <f t="shared" si="3"/>
        <v>1</v>
      </c>
      <c r="E53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0.9039964998933735</v>
      </c>
      <c r="F53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0.8974135641575558</v>
      </c>
      <c r="G53" s="90">
        <f>IF(G7=1,1,G7*1.1)</f>
        <v>1</v>
      </c>
    </row>
    <row r="54" spans="1:7" x14ac:dyDescent="0.25">
      <c r="B54" s="5" t="s">
        <v>316</v>
      </c>
      <c r="C54" s="90">
        <f t="shared" si="3"/>
        <v>1</v>
      </c>
      <c r="D54" s="90">
        <f t="shared" si="3"/>
        <v>1</v>
      </c>
      <c r="E54" s="90">
        <f>IF(ISBLANK('Dist. de l''état nutritionnel'!E$4),0.91, (0.91*SUM('Dist. de l''état nutritionnel'!E$4:E$5)/(1-0.91*SUM('Dist. de l''état nutritionnel'!E$4:E$5)))/ (SUM('Dist. de l''état nutritionnel'!E$4:E$5)/(1-SUM('Dist. de l''état nutritionnel'!E$4:E$5))))</f>
        <v>0.9039964998933735</v>
      </c>
      <c r="F54" s="90">
        <f>IF(ISBLANK('Dist. de l''état nutritionnel'!F$4),0.91, (0.91*SUM('Dist. de l''état nutritionnel'!F$4:F$5)/(1-0.91*SUM('Dist. de l''état nutritionnel'!F$4:F$5)))/ (SUM('Dist. de l''état nutritionnel'!F$4:F$5)/(1-SUM('Dist. de l''état nutritionnel'!F$4:F$5))))</f>
        <v>0.8974135641575558</v>
      </c>
      <c r="G54" s="90">
        <f>IF(G8=1,1,G8*1.1)</f>
        <v>1</v>
      </c>
    </row>
    <row r="55" spans="1:7" x14ac:dyDescent="0.25">
      <c r="B55" s="5" t="s">
        <v>307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308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283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279</v>
      </c>
      <c r="B61" s="5" t="s">
        <v>310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311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121</v>
      </c>
      <c r="B63" s="11" t="s">
        <v>312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313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5">
      <c r="B67" s="11" t="s">
        <v>314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iG7NbK0kuX6ahwDF2RKgShkDeChTjoi6tDWg1JUq8I05j5JZXSxXM6XxO4BBIkugnInK0WSTSFhanQSZZjS85A==" saltValue="v/ZjiqK/FutzkIi2BB2l1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5">
      <c r="A2" s="5" t="s">
        <v>168</v>
      </c>
      <c r="B2" s="5" t="s">
        <v>317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180</v>
      </c>
      <c r="B4" s="5" t="s">
        <v>317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181</v>
      </c>
      <c r="B6" s="5" t="s">
        <v>317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190</v>
      </c>
      <c r="B12" s="5" t="s">
        <v>317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5">
      <c r="A17" s="5" t="s">
        <v>168</v>
      </c>
      <c r="B17" s="5" t="s">
        <v>317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318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180</v>
      </c>
      <c r="B19" s="5" t="s">
        <v>317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318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181</v>
      </c>
      <c r="B21" s="5" t="s">
        <v>317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318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182</v>
      </c>
      <c r="B23" s="5" t="s">
        <v>317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318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186</v>
      </c>
      <c r="B25" s="5" t="s">
        <v>317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318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190</v>
      </c>
      <c r="B27" s="5" t="s">
        <v>317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318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5">
      <c r="A32" s="5" t="s">
        <v>168</v>
      </c>
      <c r="B32" s="5" t="s">
        <v>317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318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180</v>
      </c>
      <c r="B34" s="5" t="s">
        <v>317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318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181</v>
      </c>
      <c r="B36" s="5" t="s">
        <v>317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318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182</v>
      </c>
      <c r="B38" s="5" t="s">
        <v>317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318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186</v>
      </c>
      <c r="B40" s="5" t="s">
        <v>317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318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190</v>
      </c>
      <c r="B42" s="5" t="s">
        <v>317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318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pYARmqTzcUaKTxYQ3TQunQi3IaSdG+xkh0Cjc0GQqlCrQr8qqrt9NS0yJk7tVAetXuyE4OU2+XIRHVnc7WbTBg==" saltValue="MjH6IMB/VlXF6UM547qKz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ht="13" customHeight="1" x14ac:dyDescent="0.3">
      <c r="A2" s="4" t="s">
        <v>319</v>
      </c>
    </row>
    <row r="3" spans="1:15" x14ac:dyDescent="0.25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205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320</v>
      </c>
      <c r="B17" s="11"/>
    </row>
    <row r="18" spans="1:15" x14ac:dyDescent="0.25">
      <c r="B18" s="5" t="s">
        <v>173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174</v>
      </c>
      <c r="C19" s="90">
        <v>1</v>
      </c>
      <c r="D19" s="90">
        <v>1</v>
      </c>
      <c r="E19" s="90">
        <f>IF(ISBLANK('Dist. de l''état nutritionnel'!E$14),0.72,(0.72*'Dist. de l''état nutritionnel'!E$14/(1-0.72*'Dist. de l''état nutritionnel'!E$14))
/ ('Dist. de l''état nutritionnel'!E$14/(1-'Dist. de l''état nutritionnel'!E$14)))</f>
        <v>0.55334413007760352</v>
      </c>
      <c r="F19" s="90">
        <f>IF(ISBLANK('Dist. de l''état nutritionnel'!F$14),0.72,(0.72*'Dist. de l''état nutritionnel'!F$14/(1-0.72*'Dist. de l''état nutritionnel'!F$14))
/ ('Dist. de l''état nutritionnel'!F$14/(1-'Dist. de l''état nutritionnel'!F$14)))</f>
        <v>0.6627562324299886</v>
      </c>
      <c r="G19" s="90">
        <f>IF(ISBLANK('Dist. de l''état nutritionnel'!G$14),0.72,(0.72*'Dist. de l''état nutritionnel'!G$14/(1-0.72*'Dist. de l''état nutritionnel'!G$14))
/ ('Dist. de l''état nutritionnel'!G$14/(1-'Dist. de l''état nutritionnel'!G$14)))</f>
        <v>0.6627562324299886</v>
      </c>
      <c r="H19" s="90">
        <f>IF(ISBLANK('Dist. de l''état nutritionnel'!H$14),0.72,(0.72*'Dist. de l''état nutritionnel'!H$14/(1-0.72*'Dist. de l''état nutritionnel'!H$14))
/ ('Dist. de l''état nutritionnel'!H$14/(1-'Dist. de l''état nutritionnel'!H$14)))</f>
        <v>0.66384940453323094</v>
      </c>
      <c r="I19" s="90">
        <f>IF(ISBLANK('Dist. de l''état nutritionnel'!I$14),0.72,(0.72*'Dist. de l''état nutritionnel'!I$14/(1-0.72*'Dist. de l''état nutritionnel'!I$14))
/ ('Dist. de l''état nutritionnel'!I$14/(1-'Dist. de l''état nutritionnel'!I$14)))</f>
        <v>0.66384940453323094</v>
      </c>
      <c r="J19" s="90">
        <f>IF(ISBLANK('Dist. de l''état nutritionnel'!J$14),0.72,(0.72*'Dist. de l''état nutritionnel'!J$14/(1-0.72*'Dist. de l''état nutritionnel'!J$14))
/ ('Dist. de l''état nutritionnel'!J$14/(1-'Dist. de l''état nutritionnel'!J$14)))</f>
        <v>0.66384940453323094</v>
      </c>
      <c r="K19" s="90">
        <f>IF(ISBLANK('Dist. de l''état nutritionnel'!K$14),0.72,(0.72*'Dist. de l''état nutritionnel'!K$14/(1-0.72*'Dist. de l''état nutritionnel'!K$14))
/ ('Dist. de l''état nutritionnel'!K$14/(1-'Dist. de l''état nutritionnel'!K$14)))</f>
        <v>0.66384940453323094</v>
      </c>
      <c r="L19" s="90">
        <f>IF(ISBLANK('Dist. de l''état nutritionnel'!L$14),0.72,(0.72*'Dist. de l''état nutritionnel'!L$14/(1-0.72*'Dist. de l''état nutritionnel'!L$14))
/ ('Dist. de l''état nutritionnel'!L$14/(1-'Dist. de l''état nutritionnel'!L$14)))</f>
        <v>0.65733307225376925</v>
      </c>
      <c r="M19" s="90">
        <f>IF(ISBLANK('Dist. de l''état nutritionnel'!M$14),0.72,(0.72*'Dist. de l''état nutritionnel'!M$14/(1-0.72*'Dist. de l''état nutritionnel'!M$14))
/ ('Dist. de l''état nutritionnel'!M$14/(1-'Dist. de l''état nutritionnel'!M$14)))</f>
        <v>0.65733307225376925</v>
      </c>
      <c r="N19" s="90">
        <f>IF(ISBLANK('Dist. de l''état nutritionnel'!N$14),0.72,(0.72*'Dist. de l''état nutritionnel'!N$14/(1-0.72*'Dist. de l''état nutritionnel'!N$14))
/ ('Dist. de l''état nutritionnel'!N$14/(1-'Dist. de l''état nutritionnel'!N$14)))</f>
        <v>0.65733307225376925</v>
      </c>
      <c r="O19" s="90">
        <f>IF(ISBLANK('Dist. de l''état nutritionnel'!O$14),0.72,(0.72*'Dist. de l''état nutritionnel'!O$14/(1-0.72*'Dist. de l''état nutritionnel'!O$14))
/ ('Dist. de l''état nutritionnel'!O$14/(1-'Dist. de l''état nutritionnel'!O$14)))</f>
        <v>0.65733307225376925</v>
      </c>
    </row>
    <row r="20" spans="1:15" x14ac:dyDescent="0.25">
      <c r="B20" s="5" t="s">
        <v>175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183</v>
      </c>
      <c r="C21" s="90">
        <v>1</v>
      </c>
      <c r="D21" s="90">
        <v>1</v>
      </c>
      <c r="E21" s="90">
        <f>IF(ISBLANK('Dist. de l''état nutritionnel'!E$14),0.8,(0.8*'Dist. de l''état nutritionnel'!E$14/(1-0.8*'Dist. de l''état nutritionnel'!E$14))
/ ('Dist. de l''état nutritionnel'!E$14/(1-'Dist. de l''état nutritionnel'!E$14)))</f>
        <v>0.65836676600553035</v>
      </c>
      <c r="F21" s="90">
        <f>IF(ISBLANK('Dist. de l''état nutritionnel'!F$14),0.8,(0.8*'Dist. de l''état nutritionnel'!F$14/(1-0.8*'Dist. de l''état nutritionnel'!F$14))
/ ('Dist. de l''état nutritionnel'!F$14/(1-'Dist. de l''état nutritionnel'!F$14)))</f>
        <v>0.75351243714971394</v>
      </c>
      <c r="G21" s="90">
        <f>IF(ISBLANK('Dist. de l''état nutritionnel'!G$14),0.8,(0.8*'Dist. de l''état nutritionnel'!G$14/(1-0.8*'Dist. de l''état nutritionnel'!G$14))
/ ('Dist. de l''état nutritionnel'!G$14/(1-'Dist. de l''état nutritionnel'!G$14)))</f>
        <v>0.75351243714971394</v>
      </c>
      <c r="H21" s="90">
        <f>IF(ISBLANK('Dist. de l''état nutritionnel'!H$14),0.8,(0.8*'Dist. de l''état nutritionnel'!H$14/(1-0.8*'Dist. de l''état nutritionnel'!H$14))
/ ('Dist. de l''état nutritionnel'!H$14/(1-'Dist. de l''état nutritionnel'!H$14)))</f>
        <v>0.75442043222003941</v>
      </c>
      <c r="I21" s="90">
        <f>IF(ISBLANK('Dist. de l''état nutritionnel'!I$14),0.8,(0.8*'Dist. de l''état nutritionnel'!I$14/(1-0.8*'Dist. de l''état nutritionnel'!I$14))
/ ('Dist. de l''état nutritionnel'!I$14/(1-'Dist. de l''état nutritionnel'!I$14)))</f>
        <v>0.75442043222003941</v>
      </c>
      <c r="J21" s="90">
        <f>IF(ISBLANK('Dist. de l''état nutritionnel'!J$14),0.8,(0.8*'Dist. de l''état nutritionnel'!J$14/(1-0.8*'Dist. de l''état nutritionnel'!J$14))
/ ('Dist. de l''état nutritionnel'!J$14/(1-'Dist. de l''état nutritionnel'!J$14)))</f>
        <v>0.75442043222003941</v>
      </c>
      <c r="K21" s="90">
        <f>IF(ISBLANK('Dist. de l''état nutritionnel'!K$14),0.8,(0.8*'Dist. de l''état nutritionnel'!K$14/(1-0.8*'Dist. de l''état nutritionnel'!K$14))
/ ('Dist. de l''état nutritionnel'!K$14/(1-'Dist. de l''état nutritionnel'!K$14)))</f>
        <v>0.75442043222003941</v>
      </c>
      <c r="L21" s="90">
        <f>IF(ISBLANK('Dist. de l''état nutritionnel'!L$14),0.8,(0.8*'Dist. de l''état nutritionnel'!L$14/(1-0.8*'Dist. de l''état nutritionnel'!L$14))
/ ('Dist. de l''état nutritionnel'!L$14/(1-'Dist. de l''état nutritionnel'!L$14)))</f>
        <v>0.74899598393574318</v>
      </c>
      <c r="M21" s="90">
        <f>IF(ISBLANK('Dist. de l''état nutritionnel'!M$14),0.8,(0.8*'Dist. de l''état nutritionnel'!M$14/(1-0.8*'Dist. de l''état nutritionnel'!M$14))
/ ('Dist. de l''état nutritionnel'!M$14/(1-'Dist. de l''état nutritionnel'!M$14)))</f>
        <v>0.74899598393574318</v>
      </c>
      <c r="N21" s="90">
        <f>IF(ISBLANK('Dist. de l''état nutritionnel'!N$14),0.8,(0.8*'Dist. de l''état nutritionnel'!N$14/(1-0.8*'Dist. de l''état nutritionnel'!N$14))
/ ('Dist. de l''état nutritionnel'!N$14/(1-'Dist. de l''état nutritionnel'!N$14)))</f>
        <v>0.74899598393574318</v>
      </c>
      <c r="O21" s="90">
        <f>IF(ISBLANK('Dist. de l''état nutritionnel'!O$14),0.8,(0.8*'Dist. de l''état nutritionnel'!O$14/(1-0.8*'Dist. de l''état nutritionnel'!O$14))
/ ('Dist. de l''état nutritionnel'!O$14/(1-'Dist. de l''état nutritionnel'!O$14)))</f>
        <v>0.74899598393574318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ht="13" customHeight="1" x14ac:dyDescent="0.3">
      <c r="A25" s="4" t="s">
        <v>321</v>
      </c>
    </row>
    <row r="26" spans="1:15" x14ac:dyDescent="0.25">
      <c r="B26" s="11" t="s">
        <v>171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176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177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178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179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180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181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182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185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186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189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190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205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323</v>
      </c>
      <c r="B40" s="11"/>
    </row>
    <row r="41" spans="1:15" x14ac:dyDescent="0.25">
      <c r="B41" s="5" t="s">
        <v>173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174</v>
      </c>
      <c r="C42" s="90">
        <f t="shared" ref="C42:D44" si="9">IF(C19=1,1,C19*0.9)</f>
        <v>1</v>
      </c>
      <c r="D42" s="90">
        <f t="shared" si="9"/>
        <v>1</v>
      </c>
      <c r="E42" s="90">
        <f>IF(ISBLANK('Dist. de l''état nutritionnel'!E$14),0.54,(0.54*'Dist. de l''état nutritionnel'!E$14/(1-0.54*'Dist. de l''état nutritionnel'!E$14))
/ ('Dist. de l''état nutritionnel'!E$14/(1-'Dist. de l''état nutritionnel'!E$14)))</f>
        <v>0.36125360333779194</v>
      </c>
      <c r="F42" s="90">
        <f>IF(ISBLANK('Dist. de l''état nutritionnel'!F$14),0.54,(0.54*'Dist. de l''état nutritionnel'!F$14/(1-0.54*'Dist. de l''état nutritionnel'!F$14))
/ ('Dist. de l''état nutritionnel'!F$14/(1-'Dist. de l''état nutritionnel'!F$14)))</f>
        <v>0.47289716078966831</v>
      </c>
      <c r="G42" s="90">
        <f>IF(ISBLANK('Dist. de l''état nutritionnel'!G$14),0.54,(0.54*'Dist. de l''état nutritionnel'!G$14/(1-0.54*'Dist. de l''état nutritionnel'!G$14))
/ ('Dist. de l''état nutritionnel'!G$14/(1-'Dist. de l''état nutritionnel'!G$14)))</f>
        <v>0.47289716078966831</v>
      </c>
      <c r="H42" s="90">
        <f>IF(ISBLANK('Dist. de l''état nutritionnel'!H$14),0.54,(0.54*'Dist. de l''état nutritionnel'!H$14/(1-0.54*'Dist. de l''état nutritionnel'!H$14))
/ ('Dist. de l''état nutritionnel'!H$14/(1-'Dist. de l''état nutritionnel'!H$14)))</f>
        <v>0.47411743186391081</v>
      </c>
      <c r="I42" s="90">
        <f>IF(ISBLANK('Dist. de l''état nutritionnel'!I$14),0.54,(0.54*'Dist. de l''état nutritionnel'!I$14/(1-0.54*'Dist. de l''état nutritionnel'!I$14))
/ ('Dist. de l''état nutritionnel'!I$14/(1-'Dist. de l''état nutritionnel'!I$14)))</f>
        <v>0.47411743186391081</v>
      </c>
      <c r="J42" s="90">
        <f>IF(ISBLANK('Dist. de l''état nutritionnel'!J$14),0.54,(0.54*'Dist. de l''état nutritionnel'!J$14/(1-0.54*'Dist. de l''état nutritionnel'!J$14))
/ ('Dist. de l''état nutritionnel'!J$14/(1-'Dist. de l''état nutritionnel'!J$14)))</f>
        <v>0.47411743186391081</v>
      </c>
      <c r="K42" s="90">
        <f>IF(ISBLANK('Dist. de l''état nutritionnel'!K$14),0.54,(0.54*'Dist. de l''état nutritionnel'!K$14/(1-0.54*'Dist. de l''état nutritionnel'!K$14))
/ ('Dist. de l''état nutritionnel'!K$14/(1-'Dist. de l''état nutritionnel'!K$14)))</f>
        <v>0.47411743186391081</v>
      </c>
      <c r="L42" s="90">
        <f>IF(ISBLANK('Dist. de l''état nutritionnel'!L$14),0.54,(0.54*'Dist. de l''état nutritionnel'!L$14/(1-0.54*'Dist. de l''état nutritionnel'!L$14))
/ ('Dist. de l''état nutritionnel'!L$14/(1-'Dist. de l''état nutritionnel'!L$14)))</f>
        <v>0.46687682536739139</v>
      </c>
      <c r="M42" s="90">
        <f>IF(ISBLANK('Dist. de l''état nutritionnel'!M$14),0.54,(0.54*'Dist. de l''état nutritionnel'!M$14/(1-0.54*'Dist. de l''état nutritionnel'!M$14))
/ ('Dist. de l''état nutritionnel'!M$14/(1-'Dist. de l''état nutritionnel'!M$14)))</f>
        <v>0.46687682536739139</v>
      </c>
      <c r="N42" s="90">
        <f>IF(ISBLANK('Dist. de l''état nutritionnel'!N$14),0.54,(0.54*'Dist. de l''état nutritionnel'!N$14/(1-0.54*'Dist. de l''état nutritionnel'!N$14))
/ ('Dist. de l''état nutritionnel'!N$14/(1-'Dist. de l''état nutritionnel'!N$14)))</f>
        <v>0.46687682536739139</v>
      </c>
      <c r="O42" s="90">
        <f>IF(ISBLANK('Dist. de l''état nutritionnel'!O$14),0.54,(0.54*'Dist. de l''état nutritionnel'!O$14/(1-0.54*'Dist. de l''état nutritionnel'!O$14))
/ ('Dist. de l''état nutritionnel'!O$14/(1-'Dist. de l''état nutritionnel'!O$14)))</f>
        <v>0.46687682536739139</v>
      </c>
    </row>
    <row r="43" spans="1:15" x14ac:dyDescent="0.25">
      <c r="B43" s="5" t="s">
        <v>175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183</v>
      </c>
      <c r="C44" s="90">
        <f t="shared" si="9"/>
        <v>1</v>
      </c>
      <c r="D44" s="90">
        <f t="shared" si="9"/>
        <v>1</v>
      </c>
      <c r="E44" s="90">
        <f>IF(ISBLANK('Dist. de l''état nutritionnel'!E$14),0.7,(0.7*'Dist. de l''état nutritionnel'!E$14/(1-0.7*'Dist. de l''état nutritionnel'!E$14))
/ ('Dist. de l''état nutritionnel'!E$14/(1-'Dist. de l''état nutritionnel'!E$14)))</f>
        <v>0.5292236358477006</v>
      </c>
      <c r="F44" s="90">
        <f>IF(ISBLANK('Dist. de l''état nutritionnel'!F$14),0.7,(0.7*'Dist. de l''état nutritionnel'!F$14/(1-0.7*'Dist. de l''état nutritionnel'!F$14))
/ ('Dist. de l''état nutritionnel'!F$14/(1-'Dist. de l''état nutritionnel'!F$14)))</f>
        <v>0.64070779264399613</v>
      </c>
      <c r="G44" s="90">
        <f>IF(ISBLANK('Dist. de l''état nutritionnel'!G$14),0.7,(0.7*'Dist. de l''état nutritionnel'!G$14/(1-0.7*'Dist. de l''état nutritionnel'!G$14))
/ ('Dist. de l''état nutritionnel'!G$14/(1-'Dist. de l''état nutritionnel'!G$14)))</f>
        <v>0.64070779264399613</v>
      </c>
      <c r="H44" s="90">
        <f>IF(ISBLANK('Dist. de l''état nutritionnel'!H$14),0.7,(0.7*'Dist. de l''état nutritionnel'!H$14/(1-0.7*'Dist. de l''état nutritionnel'!H$14))
/ ('Dist. de l''état nutritionnel'!H$14/(1-'Dist. de l''état nutritionnel'!H$14)))</f>
        <v>0.6418338108882522</v>
      </c>
      <c r="I44" s="90">
        <f>IF(ISBLANK('Dist. de l''état nutritionnel'!I$14),0.7,(0.7*'Dist. de l''état nutritionnel'!I$14/(1-0.7*'Dist. de l''état nutritionnel'!I$14))
/ ('Dist. de l''état nutritionnel'!I$14/(1-'Dist. de l''état nutritionnel'!I$14)))</f>
        <v>0.6418338108882522</v>
      </c>
      <c r="J44" s="90">
        <f>IF(ISBLANK('Dist. de l''état nutritionnel'!J$14),0.7,(0.7*'Dist. de l''état nutritionnel'!J$14/(1-0.7*'Dist. de l''état nutritionnel'!J$14))
/ ('Dist. de l''état nutritionnel'!J$14/(1-'Dist. de l''état nutritionnel'!J$14)))</f>
        <v>0.6418338108882522</v>
      </c>
      <c r="K44" s="90">
        <f>IF(ISBLANK('Dist. de l''état nutritionnel'!K$14),0.7,(0.7*'Dist. de l''état nutritionnel'!K$14/(1-0.7*'Dist. de l''état nutritionnel'!K$14))
/ ('Dist. de l''état nutritionnel'!K$14/(1-'Dist. de l''état nutritionnel'!K$14)))</f>
        <v>0.6418338108882522</v>
      </c>
      <c r="L44" s="90">
        <f>IF(ISBLANK('Dist. de l''état nutritionnel'!L$14),0.7,(0.7*'Dist. de l''état nutritionnel'!L$14/(1-0.7*'Dist. de l''état nutritionnel'!L$14))
/ ('Dist. de l''état nutritionnel'!L$14/(1-'Dist. de l''état nutritionnel'!L$14)))</f>
        <v>0.63512527365604465</v>
      </c>
      <c r="M44" s="90">
        <f>IF(ISBLANK('Dist. de l''état nutritionnel'!M$14),0.7,(0.7*'Dist. de l''état nutritionnel'!M$14/(1-0.7*'Dist. de l''état nutritionnel'!M$14))
/ ('Dist. de l''état nutritionnel'!M$14/(1-'Dist. de l''état nutritionnel'!M$14)))</f>
        <v>0.63512527365604465</v>
      </c>
      <c r="N44" s="90">
        <f>IF(ISBLANK('Dist. de l''état nutritionnel'!N$14),0.7,(0.7*'Dist. de l''état nutritionnel'!N$14/(1-0.7*'Dist. de l''état nutritionnel'!N$14))
/ ('Dist. de l''état nutritionnel'!N$14/(1-'Dist. de l''état nutritionnel'!N$14)))</f>
        <v>0.63512527365604465</v>
      </c>
      <c r="O44" s="90">
        <f>IF(ISBLANK('Dist. de l''état nutritionnel'!O$14),0.7,(0.7*'Dist. de l''état nutritionnel'!O$14/(1-0.7*'Dist. de l''état nutritionnel'!O$14))
/ ('Dist. de l''état nutritionnel'!O$14/(1-'Dist. de l''état nutritionnel'!O$14)))</f>
        <v>0.63512527365604465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ht="13" customHeight="1" x14ac:dyDescent="0.3">
      <c r="A48" s="4" t="s">
        <v>322</v>
      </c>
    </row>
    <row r="49" spans="1:15" x14ac:dyDescent="0.25">
      <c r="B49" s="11" t="s">
        <v>171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176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177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178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179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180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181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182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185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186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189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190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205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324</v>
      </c>
      <c r="B63" s="11"/>
    </row>
    <row r="64" spans="1:15" x14ac:dyDescent="0.25">
      <c r="B64" s="5" t="s">
        <v>173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174</v>
      </c>
      <c r="C65" s="90">
        <f t="shared" ref="C65:D67" si="20">IF(C19=1,1,C19*1.05)</f>
        <v>1</v>
      </c>
      <c r="D65" s="90">
        <f t="shared" si="20"/>
        <v>1</v>
      </c>
      <c r="E65" s="90">
        <f>IF(ISBLANK('Dist. de l''état nutritionnel'!E$14),0.97,(0.97*'Dist. de l''état nutritionnel'!E$14/(1-0.97*'Dist. de l''état nutritionnel'!E$14))
/ ('Dist. de l''état nutritionnel'!E$14/(1-'Dist. de l''état nutritionnel'!E$14)))</f>
        <v>0.93967734075713372</v>
      </c>
      <c r="F65" s="90">
        <f>IF(ISBLANK('Dist. de l''état nutritionnel'!F$14),0.97,(0.97*'Dist. de l''état nutritionnel'!F$14/(1-0.97*'Dist. de l''état nutritionnel'!F$14))
/ ('Dist. de l''état nutritionnel'!F$14/(1-'Dist. de l''état nutritionnel'!F$14)))</f>
        <v>0.96110576104594847</v>
      </c>
      <c r="G65" s="90">
        <f>IF(ISBLANK('Dist. de l''état nutritionnel'!G$14),0.97,(0.97*'Dist. de l''état nutritionnel'!G$14/(1-0.97*'Dist. de l''état nutritionnel'!G$14))
/ ('Dist. de l''état nutritionnel'!G$14/(1-'Dist. de l''état nutritionnel'!G$14)))</f>
        <v>0.96110576104594847</v>
      </c>
      <c r="H65" s="90">
        <f>IF(ISBLANK('Dist. de l''état nutritionnel'!H$14),0.97,(0.97*'Dist. de l''état nutritionnel'!H$14/(1-0.97*'Dist. de l''état nutritionnel'!H$14))
/ ('Dist. de l''état nutritionnel'!H$14/(1-'Dist. de l''état nutritionnel'!H$14)))</f>
        <v>0.96128832455868696</v>
      </c>
      <c r="I65" s="90">
        <f>IF(ISBLANK('Dist. de l''état nutritionnel'!I$14),0.97,(0.97*'Dist. de l''état nutritionnel'!I$14/(1-0.97*'Dist. de l''état nutritionnel'!I$14))
/ ('Dist. de l''état nutritionnel'!I$14/(1-'Dist. de l''état nutritionnel'!I$14)))</f>
        <v>0.96128832455868696</v>
      </c>
      <c r="J65" s="90">
        <f>IF(ISBLANK('Dist. de l''état nutritionnel'!J$14),0.97,(0.97*'Dist. de l''état nutritionnel'!J$14/(1-0.97*'Dist. de l''état nutritionnel'!J$14))
/ ('Dist. de l''état nutritionnel'!J$14/(1-'Dist. de l''état nutritionnel'!J$14)))</f>
        <v>0.96128832455868696</v>
      </c>
      <c r="K65" s="90">
        <f>IF(ISBLANK('Dist. de l''état nutritionnel'!K$14),0.97,(0.97*'Dist. de l''état nutritionnel'!K$14/(1-0.97*'Dist. de l''état nutritionnel'!K$14))
/ ('Dist. de l''état nutritionnel'!K$14/(1-'Dist. de l''état nutritionnel'!K$14)))</f>
        <v>0.96128832455868696</v>
      </c>
      <c r="L65" s="90">
        <f>IF(ISBLANK('Dist. de l''état nutritionnel'!L$14),0.97,(0.97*'Dist. de l''état nutritionnel'!L$14/(1-0.97*'Dist. de l''état nutritionnel'!L$14))
/ ('Dist. de l''état nutritionnel'!L$14/(1-'Dist. de l''état nutritionnel'!L$14)))</f>
        <v>0.96019213927443536</v>
      </c>
      <c r="M65" s="90">
        <f>IF(ISBLANK('Dist. de l''état nutritionnel'!M$14),0.97,(0.97*'Dist. de l''état nutritionnel'!M$14/(1-0.97*'Dist. de l''état nutritionnel'!M$14))
/ ('Dist. de l''état nutritionnel'!M$14/(1-'Dist. de l''état nutritionnel'!M$14)))</f>
        <v>0.96019213927443536</v>
      </c>
      <c r="N65" s="90">
        <f>IF(ISBLANK('Dist. de l''état nutritionnel'!N$14),0.97,(0.97*'Dist. de l''état nutritionnel'!N$14/(1-0.97*'Dist. de l''état nutritionnel'!N$14))
/ ('Dist. de l''état nutritionnel'!N$14/(1-'Dist. de l''état nutritionnel'!N$14)))</f>
        <v>0.96019213927443536</v>
      </c>
      <c r="O65" s="90">
        <f>IF(ISBLANK('Dist. de l''état nutritionnel'!O$14),0.97,(0.97*'Dist. de l''état nutritionnel'!O$14/(1-0.97*'Dist. de l''état nutritionnel'!O$14))
/ ('Dist. de l''état nutritionnel'!O$14/(1-'Dist. de l''état nutritionnel'!O$14)))</f>
        <v>0.96019213927443536</v>
      </c>
    </row>
    <row r="66" spans="2:15" x14ac:dyDescent="0.25">
      <c r="B66" s="5" t="s">
        <v>175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183</v>
      </c>
      <c r="C67" s="90">
        <f t="shared" si="20"/>
        <v>1</v>
      </c>
      <c r="D67" s="90">
        <f t="shared" si="20"/>
        <v>1</v>
      </c>
      <c r="E67" s="90">
        <f>IF(ISBLANK('Dist. de l''état nutritionnel'!E$14),0.92,(0.92*'Dist. de l''état nutritionnel'!E$14/(1-0.92*'Dist. de l''état nutritionnel'!E$14))
/ ('Dist. de l''état nutritionnel'!E$14/(1-'Dist. de l''état nutritionnel'!E$14)))</f>
        <v>0.84710549947524449</v>
      </c>
      <c r="F67" s="90">
        <f>IF(ISBLANK('Dist. de l''état nutritionnel'!F$14),0.92,(0.92*'Dist. de l''état nutritionnel'!F$14/(1-0.92*'Dist. de l''état nutritionnel'!F$14))
/ ('Dist. de l''état nutritionnel'!F$14/(1-'Dist. de l''état nutritionnel'!F$14)))</f>
        <v>0.89784320970274012</v>
      </c>
      <c r="G67" s="90">
        <f>IF(ISBLANK('Dist. de l''état nutritionnel'!G$14),0.92,(0.92*'Dist. de l''état nutritionnel'!G$14/(1-0.92*'Dist. de l''état nutritionnel'!G$14))
/ ('Dist. de l''état nutritionnel'!G$14/(1-'Dist. de l''état nutritionnel'!G$14)))</f>
        <v>0.89784320970274012</v>
      </c>
      <c r="H67" s="90">
        <f>IF(ISBLANK('Dist. de l''état nutritionnel'!H$14),0.92,(0.92*'Dist. de l''état nutritionnel'!H$14/(1-0.92*'Dist. de l''état nutritionnel'!H$14))
/ ('Dist. de l''état nutritionnel'!H$14/(1-'Dist. de l''état nutritionnel'!H$14)))</f>
        <v>0.89829129373474381</v>
      </c>
      <c r="I67" s="90">
        <f>IF(ISBLANK('Dist. de l''état nutritionnel'!I$14),0.92,(0.92*'Dist. de l''état nutritionnel'!I$14/(1-0.92*'Dist. de l''état nutritionnel'!I$14))
/ ('Dist. de l''état nutritionnel'!I$14/(1-'Dist. de l''état nutritionnel'!I$14)))</f>
        <v>0.89829129373474381</v>
      </c>
      <c r="J67" s="90">
        <f>IF(ISBLANK('Dist. de l''état nutritionnel'!J$14),0.92,(0.92*'Dist. de l''état nutritionnel'!J$14/(1-0.92*'Dist. de l''état nutritionnel'!J$14))
/ ('Dist. de l''état nutritionnel'!J$14/(1-'Dist. de l''état nutritionnel'!J$14)))</f>
        <v>0.89829129373474381</v>
      </c>
      <c r="K67" s="90">
        <f>IF(ISBLANK('Dist. de l''état nutritionnel'!K$14),0.92,(0.92*'Dist. de l''état nutritionnel'!K$14/(1-0.92*'Dist. de l''état nutritionnel'!K$14))
/ ('Dist. de l''état nutritionnel'!K$14/(1-'Dist. de l''état nutritionnel'!K$14)))</f>
        <v>0.89829129373474381</v>
      </c>
      <c r="L67" s="90">
        <f>IF(ISBLANK('Dist. de l''état nutritionnel'!L$14),0.92,(0.92*'Dist. de l''état nutritionnel'!L$14/(1-0.92*'Dist. de l''état nutritionnel'!L$14))
/ ('Dist. de l''état nutritionnel'!L$14/(1-'Dist. de l''état nutritionnel'!L$14)))</f>
        <v>0.89560496920346611</v>
      </c>
      <c r="M67" s="90">
        <f>IF(ISBLANK('Dist. de l''état nutritionnel'!M$14),0.92,(0.92*'Dist. de l''état nutritionnel'!M$14/(1-0.92*'Dist. de l''état nutritionnel'!M$14))
/ ('Dist. de l''état nutritionnel'!M$14/(1-'Dist. de l''état nutritionnel'!M$14)))</f>
        <v>0.89560496920346611</v>
      </c>
      <c r="N67" s="90">
        <f>IF(ISBLANK('Dist. de l''état nutritionnel'!N$14),0.92,(0.92*'Dist. de l''état nutritionnel'!N$14/(1-0.92*'Dist. de l''état nutritionnel'!N$14))
/ ('Dist. de l''état nutritionnel'!N$14/(1-'Dist. de l''état nutritionnel'!N$14)))</f>
        <v>0.89560496920346611</v>
      </c>
      <c r="O67" s="90">
        <f>IF(ISBLANK('Dist. de l''état nutritionnel'!O$14),0.92,(0.92*'Dist. de l''état nutritionnel'!O$14/(1-0.92*'Dist. de l''état nutritionnel'!O$14))
/ ('Dist. de l''état nutritionnel'!O$14/(1-'Dist. de l''état nutritionnel'!O$14)))</f>
        <v>0.89560496920346611</v>
      </c>
    </row>
  </sheetData>
  <sheetProtection algorithmName="SHA-512" hashValue="62L6EGMxqs0gaW2chpO7Ha+2A5kD22e+qwIwU4FfqoAS8dzbdnw0N0drKMCNf7e+fDkuGFPUYmb+Z9pUU2CP2Q==" saltValue="lSlYM4XtWD3PFRAi823AZ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ht="13" customHeight="1" x14ac:dyDescent="0.3">
      <c r="A2" s="4" t="s">
        <v>325</v>
      </c>
    </row>
    <row r="3" spans="1:7" ht="13.25" customHeight="1" x14ac:dyDescent="0.25">
      <c r="B3" s="11" t="s">
        <v>161</v>
      </c>
      <c r="C3" s="90">
        <v>1</v>
      </c>
      <c r="D3" s="90">
        <f>IF(ISBLANK('Dist. de l''état nutritionnel'!D$11),(1/1.33),((1/1.33)*'Dist. de l''état nutritionnel'!D$11/(1-(1/1.33)*'Dist. de l''état nutritionnel'!D$11))
/ ('Dist. de l''état nutritionnel'!D$11/(1-'Dist. de l''état nutritionnel'!D$11)))</f>
        <v>0.74802628889938538</v>
      </c>
      <c r="E3" s="90">
        <f>IF(ISBLANK('Dist. de l''état nutritionnel'!E$11),(1/1.33),((1/1.33)*'Dist. de l''état nutritionnel'!E$11/(1-(1/1.33)*'Dist. de l''état nutritionnel'!E$11))
/ ('Dist. de l''état nutritionnel'!E$11/(1-'Dist. de l''état nutritionnel'!E$11)))</f>
        <v>0.75164479876812396</v>
      </c>
      <c r="F3" s="90">
        <f>IF(ISBLANK('Dist. de l''état nutritionnel'!F$11),(1/1.33),((1/1.33)*'Dist. de l''état nutritionnel'!F$11/(1-(1/1.33)*'Dist. de l''état nutritionnel'!F$11))
/ ('Dist. de l''état nutritionnel'!F$11/(1-'Dist. de l''état nutritionnel'!F$11)))</f>
        <v>0.75163466912569199</v>
      </c>
      <c r="G3" s="90">
        <f>IF(ISBLANK('Dist. de l''état nutritionnel'!G$11),(1/1.33),((1/1.33)*'Dist. de l''état nutritionnel'!G$11/(1-(1/1.33)*'Dist. de l''état nutritionnel'!G$11))
/ ('Dist. de l''état nutritionnel'!G$11/(1-'Dist. de l''état nutritionnel'!G$11)))</f>
        <v>0.75107392651358396</v>
      </c>
    </row>
    <row r="4" spans="1:7" ht="13" customHeight="1" x14ac:dyDescent="0.3">
      <c r="A4" s="4" t="s">
        <v>326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165</v>
      </c>
      <c r="C5" s="90">
        <v>1</v>
      </c>
      <c r="D5" s="90">
        <f>IF(ISBLANK('Dist. de l''état nutritionnel'!D$10),(1/1.33),((1/1.33)*'Dist. de l''état nutritionnel'!D$10/(1-(1/1.33)*'Dist. de l''état nutritionnel'!D$10))
/ ('Dist. de l''état nutritionnel'!D$10/(1-'Dist. de l''état nutritionnel'!D$10)))</f>
        <v>0.74637957041287639</v>
      </c>
      <c r="E5" s="90">
        <f>IF(ISBLANK('Dist. de l''état nutritionnel'!E$10),(1/1.33),((1/1.33)*'Dist. de l''état nutritionnel'!E$10/(1-(1/1.33)*'Dist. de l''état nutritionnel'!E$10))
/ ('Dist. de l''état nutritionnel'!E$10/(1-'Dist. de l''état nutritionnel'!E$10)))</f>
        <v>0.75099949534464983</v>
      </c>
      <c r="F5" s="90">
        <f>IF(ISBLANK('Dist. de l''état nutritionnel'!F$10),(1/1.33),((1/1.33)*'Dist. de l''état nutritionnel'!F$10/(1-(1/1.33)*'Dist. de l''état nutritionnel'!F$10))
/ ('Dist. de l''état nutritionnel'!F$10/(1-'Dist. de l''état nutritionnel'!F$10)))</f>
        <v>0.7513095554920346</v>
      </c>
      <c r="G5" s="90">
        <f>IF(ISBLANK('Dist. de l''état nutritionnel'!G$10),(1/1.33),((1/1.33)*'Dist. de l''état nutritionnel'!G$10/(1-(1/1.33)*'Dist. de l''état nutritionnel'!G$10))
/ ('Dist. de l''état nutritionnel'!G$10/(1-'Dist. de l''état nutritionnel'!G$10)))</f>
        <v>0.75030224435736725</v>
      </c>
    </row>
    <row r="7" spans="1:7" s="92" customFormat="1" ht="13" customHeight="1" x14ac:dyDescent="0.3">
      <c r="A7" s="92" t="s">
        <v>331</v>
      </c>
    </row>
    <row r="8" spans="1:7" ht="13" customHeight="1" x14ac:dyDescent="0.3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ht="13" customHeight="1" x14ac:dyDescent="0.3">
      <c r="A9" s="4" t="s">
        <v>327</v>
      </c>
    </row>
    <row r="10" spans="1:7" ht="13.25" customHeight="1" x14ac:dyDescent="0.25">
      <c r="B10" s="11" t="s">
        <v>161</v>
      </c>
      <c r="C10" s="90">
        <v>1</v>
      </c>
      <c r="D10" s="90">
        <f>IF(ISBLANK('Dist. de l''état nutritionnel'!D$11),(1/1.54),((1/1.54)*'Dist. de l''état nutritionnel'!D$11/(1-(1/1.54)*'Dist. de l''état nutritionnel'!D$11))
/ ('Dist. de l''état nutritionnel'!D$11/(1-'Dist. de l''état nutritionnel'!D$11)))</f>
        <v>0.64465745920078499</v>
      </c>
      <c r="E10" s="90">
        <f>IF(ISBLANK('Dist. de l''état nutritionnel'!E$11),(1/1.54),((1/1.54)*'Dist. de l''état nutritionnel'!E$11/(1-(1/1.54)*'Dist. de l''état nutritionnel'!E$11))
/ ('Dist. de l''état nutritionnel'!E$11/(1-'Dist. de l''état nutritionnel'!E$11)))</f>
        <v>0.649063987763287</v>
      </c>
      <c r="F10" s="90">
        <f>IF(ISBLANK('Dist. de l''état nutritionnel'!F$11),(1/1.54),((1/1.54)*'Dist. de l''état nutritionnel'!F$11/(1-(1/1.54)*'Dist. de l''état nutritionnel'!F$11))
/ ('Dist. de l''état nutritionnel'!F$11/(1-'Dist. de l''état nutritionnel'!F$11)))</f>
        <v>0.64905162768469848</v>
      </c>
      <c r="G10" s="90">
        <f>IF(ISBLANK('Dist. de l''état nutritionnel'!G$11),(1/1.54),((1/1.54)*'Dist. de l''état nutritionnel'!G$11/(1-(1/1.54)*'Dist. de l''état nutritionnel'!G$11))
/ ('Dist. de l''état nutritionnel'!G$11/(1-'Dist. de l''état nutritionnel'!G$11)))</f>
        <v>0.64836763027218147</v>
      </c>
    </row>
    <row r="11" spans="1:7" ht="13" customHeight="1" x14ac:dyDescent="0.3">
      <c r="A11" s="4" t="s">
        <v>328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165</v>
      </c>
      <c r="C12" s="90">
        <v>1</v>
      </c>
      <c r="D12" s="90">
        <f>IF(ISBLANK('Dist. de l''état nutritionnel'!D$10),(1/1.54),((1/1.54)*'Dist. de l''état nutritionnel'!D$10/(1-(1/1.54)*'Dist. de l''état nutritionnel'!D$10))
/ ('Dist. de l''état nutritionnel'!D$10/(1-'Dist. de l''état nutritionnel'!D$10)))</f>
        <v>0.64265791297912134</v>
      </c>
      <c r="E12" s="90">
        <f>IF(ISBLANK('Dist. de l''état nutritionnel'!E$10),(1/1.54),((1/1.54)*'Dist. de l''état nutritionnel'!E$10/(1-(1/1.54)*'Dist. de l''état nutritionnel'!E$10))
/ ('Dist. de l''état nutritionnel'!E$10/(1-'Dist. de l''état nutritionnel'!E$10)))</f>
        <v>0.64827687033637393</v>
      </c>
      <c r="F12" s="90">
        <f>IF(ISBLANK('Dist. de l''état nutritionnel'!F$10),(1/1.54),((1/1.54)*'Dist. de l''état nutritionnel'!F$10/(1-(1/1.54)*'Dist. de l''état nutritionnel'!F$10))
/ ('Dist. de l''état nutritionnel'!F$10/(1-'Dist. de l''état nutritionnel'!F$10)))</f>
        <v>0.64865500066213722</v>
      </c>
      <c r="G12" s="90">
        <f>IF(ISBLANK('Dist. de l''état nutritionnel'!G$10),(1/1.54),((1/1.54)*'Dist. de l''état nutritionnel'!G$10/(1-(1/1.54)*'Dist. de l''état nutritionnel'!G$10))
/ ('Dist. de l''état nutritionnel'!G$10/(1-'Dist. de l''état nutritionnel'!G$10)))</f>
        <v>0.64742701616220677</v>
      </c>
    </row>
    <row r="14" spans="1:7" s="92" customFormat="1" ht="13" customHeight="1" x14ac:dyDescent="0.3">
      <c r="A14" s="92" t="s">
        <v>332</v>
      </c>
    </row>
    <row r="15" spans="1:7" ht="13" customHeight="1" x14ac:dyDescent="0.3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ht="13" customHeight="1" x14ac:dyDescent="0.3">
      <c r="A16" s="4" t="s">
        <v>329</v>
      </c>
    </row>
    <row r="17" spans="1:7" ht="13.25" customHeight="1" x14ac:dyDescent="0.25">
      <c r="B17" s="11" t="s">
        <v>161</v>
      </c>
      <c r="C17" s="90">
        <v>1</v>
      </c>
      <c r="D17" s="90">
        <f>IF(ISBLANK('Dist. de l''état nutritionnel'!D$11),(1/1.16),((1/1.16)*'Dist. de l''état nutritionnel'!D$11/(1-(1/1.16)*'Dist. de l''état nutritionnel'!D$11))
/ ('Dist. de l''état nutritionnel'!D$11/(1-'Dist. de l''état nutritionnel'!D$11)))</f>
        <v>0.85960730482903647</v>
      </c>
      <c r="E17" s="90">
        <f>IF(ISBLANK('Dist. de l''état nutritionnel'!E$11),(1/1.16),((1/1.16)*'Dist. de l''état nutritionnel'!E$11/(1-(1/1.16)*'Dist. de l''état nutritionnel'!E$11))
/ ('Dist. de l''état nutritionnel'!E$11/(1-'Dist. de l''état nutritionnel'!E$11)))</f>
        <v>0.86191922562709633</v>
      </c>
      <c r="F17" s="90">
        <f>IF(ISBLANK('Dist. de l''état nutritionnel'!F$11),(1/1.16),((1/1.16)*'Dist. de l''état nutritionnel'!F$11/(1-(1/1.16)*'Dist. de l''état nutritionnel'!F$11))
/ ('Dist. de l''état nutritionnel'!F$11/(1-'Dist. de l''état nutritionnel'!F$11)))</f>
        <v>0.86191276744063539</v>
      </c>
      <c r="G17" s="90">
        <f>IF(ISBLANK('Dist. de l''état nutritionnel'!G$11),(1/1.16),((1/1.16)*'Dist. de l''état nutritionnel'!G$11/(1-(1/1.16)*'Dist. de l''état nutritionnel'!G$11))
/ ('Dist. de l''état nutritionnel'!G$11/(1-'Dist. de l''état nutritionnel'!G$11)))</f>
        <v>0.86155514356352292</v>
      </c>
    </row>
    <row r="18" spans="1:7" ht="13" customHeight="1" x14ac:dyDescent="0.3">
      <c r="A18" s="4" t="s">
        <v>330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165</v>
      </c>
      <c r="C19" s="90">
        <v>1</v>
      </c>
      <c r="D19" s="90">
        <f>IF(ISBLANK('Dist. de l''état nutritionnel'!D$10),(1/1.16),((1/1.16)*'Dist. de l''état nutritionnel'!D$10/(1-(1/1.16)*'Dist. de l''état nutritionnel'!D$10))
/ ('Dist. de l''état nutritionnel'!D$10/(1-'Dist. de l''état nutritionnel'!D$10)))</f>
        <v>0.85855190880281784</v>
      </c>
      <c r="E19" s="90">
        <f>IF(ISBLANK('Dist. de l''état nutritionnel'!E$10),(1/1.16),((1/1.16)*'Dist. de l''état nutritionnel'!E$10/(1-(1/1.16)*'Dist. de l''état nutritionnel'!E$10))
/ ('Dist. de l''état nutritionnel'!E$10/(1-'Dist. de l''état nutritionnel'!E$10)))</f>
        <v>0.8615076559032594</v>
      </c>
      <c r="F19" s="90">
        <f>IF(ISBLANK('Dist. de l''état nutritionnel'!F$10),(1/1.16),((1/1.16)*'Dist. de l''état nutritionnel'!F$10/(1-(1/1.16)*'Dist. de l''état nutritionnel'!F$10))
/ ('Dist. de l''état nutritionnel'!F$10/(1-'Dist. de l''état nutritionnel'!F$10)))</f>
        <v>0.86170544912970215</v>
      </c>
      <c r="G19" s="90">
        <f>IF(ISBLANK('Dist. de l''état nutritionnel'!G$10),(1/1.16),((1/1.16)*'Dist. de l''état nutritionnel'!G$10/(1-(1/1.16)*'Dist. de l''état nutritionnel'!G$10))
/ ('Dist. de l''état nutritionnel'!G$10/(1-'Dist. de l''état nutritionnel'!G$10)))</f>
        <v>0.86106260144272972</v>
      </c>
    </row>
  </sheetData>
  <sheetProtection algorithmName="SHA-512" hashValue="BWiyOjq/zk5HVleTt+6h5X02r8hxBl7vJXxxMamc/5I4erovswm+7twpC2UwUZSnvs6MEv3hcOZn9bICRympKA==" saltValue="WaM1zi3rY3VLFfHvvNMMo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ht="13.25" customHeight="1" x14ac:dyDescent="0.25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335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336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336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209</v>
      </c>
      <c r="C7" s="5" t="s">
        <v>334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336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336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209</v>
      </c>
      <c r="C11" s="5" t="s">
        <v>334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336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336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209</v>
      </c>
      <c r="C15" s="5" t="s">
        <v>334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336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336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209</v>
      </c>
      <c r="C19" s="5" t="s">
        <v>334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336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175</v>
      </c>
      <c r="B21" s="5" t="s">
        <v>84</v>
      </c>
      <c r="C21" s="5" t="s">
        <v>334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335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173</v>
      </c>
      <c r="B23" s="5" t="s">
        <v>84</v>
      </c>
      <c r="C23" s="5" t="s">
        <v>334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335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174</v>
      </c>
      <c r="B25" s="5" t="s">
        <v>84</v>
      </c>
      <c r="C25" s="5" t="s">
        <v>334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335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87</v>
      </c>
      <c r="C42" s="5" t="s">
        <v>334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335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336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88</v>
      </c>
      <c r="C45" s="5" t="s">
        <v>334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335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336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191</v>
      </c>
      <c r="B48" s="5" t="s">
        <v>87</v>
      </c>
      <c r="C48" s="5" t="s">
        <v>334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335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87</v>
      </c>
      <c r="C50" s="5" t="s">
        <v>334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335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184</v>
      </c>
      <c r="B52" s="5" t="s">
        <v>82</v>
      </c>
      <c r="C52" s="5" t="s">
        <v>334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335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331</v>
      </c>
      <c r="B55" s="97"/>
      <c r="C55" s="97"/>
    </row>
    <row r="56" spans="1:8" ht="13" customHeight="1" x14ac:dyDescent="0.3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ht="13.25" customHeight="1" x14ac:dyDescent="0.25">
      <c r="A57" s="5" t="s">
        <v>193</v>
      </c>
      <c r="B57" s="5" t="s">
        <v>87</v>
      </c>
      <c r="C57" s="5" t="s">
        <v>334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335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336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192</v>
      </c>
      <c r="B60" s="5" t="s">
        <v>208</v>
      </c>
      <c r="C60" s="5" t="s">
        <v>334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336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209</v>
      </c>
      <c r="C62" s="5" t="s">
        <v>334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336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185</v>
      </c>
      <c r="B64" s="5" t="s">
        <v>208</v>
      </c>
      <c r="C64" s="5" t="s">
        <v>334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336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209</v>
      </c>
      <c r="C66" s="5" t="s">
        <v>334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336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205</v>
      </c>
      <c r="B68" s="5" t="s">
        <v>208</v>
      </c>
      <c r="C68" s="5" t="s">
        <v>334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336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209</v>
      </c>
      <c r="C70" s="5" t="s">
        <v>334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336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170</v>
      </c>
      <c r="B72" s="5" t="s">
        <v>208</v>
      </c>
      <c r="C72" s="5" t="s">
        <v>334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336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209</v>
      </c>
      <c r="C74" s="5" t="s">
        <v>334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336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175</v>
      </c>
      <c r="B76" s="5" t="s">
        <v>84</v>
      </c>
      <c r="C76" s="5" t="s">
        <v>334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335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173</v>
      </c>
      <c r="B78" s="5" t="s">
        <v>84</v>
      </c>
      <c r="C78" s="5" t="s">
        <v>334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335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174</v>
      </c>
      <c r="B80" s="5" t="s">
        <v>84</v>
      </c>
      <c r="C80" s="5" t="s">
        <v>334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335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87</v>
      </c>
      <c r="C82" s="5" t="s">
        <v>334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335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336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87</v>
      </c>
      <c r="C85" s="5" t="s">
        <v>334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335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336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87</v>
      </c>
      <c r="C88" s="5" t="s">
        <v>334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335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336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87</v>
      </c>
      <c r="C91" s="5" t="s">
        <v>334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335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336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87</v>
      </c>
      <c r="C94" s="5" t="s">
        <v>334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335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336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87</v>
      </c>
      <c r="C97" s="5" t="s">
        <v>334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335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336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88</v>
      </c>
      <c r="C100" s="5" t="s">
        <v>334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335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336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191</v>
      </c>
      <c r="B103" s="5" t="s">
        <v>87</v>
      </c>
      <c r="C103" s="5" t="s">
        <v>334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335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87</v>
      </c>
      <c r="C105" s="5" t="s">
        <v>334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335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184</v>
      </c>
      <c r="B107" s="5" t="s">
        <v>82</v>
      </c>
      <c r="C107" s="5" t="s">
        <v>334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335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332</v>
      </c>
      <c r="B110" s="97"/>
      <c r="C110" s="97"/>
    </row>
    <row r="111" spans="1:8" ht="13" customHeight="1" x14ac:dyDescent="0.3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5">
      <c r="A112" s="5" t="s">
        <v>193</v>
      </c>
      <c r="B112" s="5" t="s">
        <v>87</v>
      </c>
      <c r="C112" s="5" t="s">
        <v>334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335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336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192</v>
      </c>
      <c r="B115" s="5" t="s">
        <v>208</v>
      </c>
      <c r="C115" s="5" t="s">
        <v>334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336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209</v>
      </c>
      <c r="C117" s="5" t="s">
        <v>334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336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185</v>
      </c>
      <c r="B119" s="5" t="s">
        <v>208</v>
      </c>
      <c r="C119" s="5" t="s">
        <v>334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336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209</v>
      </c>
      <c r="C121" s="5" t="s">
        <v>334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336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205</v>
      </c>
      <c r="B123" s="5" t="s">
        <v>208</v>
      </c>
      <c r="C123" s="5" t="s">
        <v>334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336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209</v>
      </c>
      <c r="C125" s="5" t="s">
        <v>334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336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170</v>
      </c>
      <c r="B127" s="5" t="s">
        <v>208</v>
      </c>
      <c r="C127" s="5" t="s">
        <v>334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336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209</v>
      </c>
      <c r="C129" s="5" t="s">
        <v>334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336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175</v>
      </c>
      <c r="B131" s="5" t="s">
        <v>84</v>
      </c>
      <c r="C131" s="5" t="s">
        <v>334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335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173</v>
      </c>
      <c r="B133" s="5" t="s">
        <v>84</v>
      </c>
      <c r="C133" s="5" t="s">
        <v>334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335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174</v>
      </c>
      <c r="B135" s="5" t="s">
        <v>84</v>
      </c>
      <c r="C135" s="5" t="s">
        <v>334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335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87</v>
      </c>
      <c r="C137" s="5" t="s">
        <v>334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335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336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87</v>
      </c>
      <c r="C140" s="5" t="s">
        <v>334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335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336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87</v>
      </c>
      <c r="C143" s="5" t="s">
        <v>334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335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336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87</v>
      </c>
      <c r="C146" s="5" t="s">
        <v>334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335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336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87</v>
      </c>
      <c r="C149" s="5" t="s">
        <v>334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335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336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87</v>
      </c>
      <c r="C152" s="5" t="s">
        <v>334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335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336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88</v>
      </c>
      <c r="C155" s="5" t="s">
        <v>334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335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336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191</v>
      </c>
      <c r="B158" s="5" t="s">
        <v>87</v>
      </c>
      <c r="C158" s="5" t="s">
        <v>334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335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87</v>
      </c>
      <c r="C160" s="5" t="s">
        <v>334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335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184</v>
      </c>
      <c r="B162" s="5" t="s">
        <v>82</v>
      </c>
      <c r="C162" s="5" t="s">
        <v>334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335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p2Hd9LYYKPjPfcFr9F+VQUfLjuBzHrszN6wKGKNy/UsM4i/+XTzGTsB4h84p2opQjaQsiQmyygvx0U+yvJxVOA==" saltValue="39HN+khVKNpv460o3cGmd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2" sqref="D2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ht="13.25" customHeight="1" x14ac:dyDescent="0.25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335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335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331</v>
      </c>
    </row>
    <row r="10" spans="1:8" ht="13" customHeight="1" x14ac:dyDescent="0.3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ht="13.25" customHeight="1" x14ac:dyDescent="0.25">
      <c r="A11" s="3" t="s">
        <v>169</v>
      </c>
      <c r="B11" s="8" t="s">
        <v>104</v>
      </c>
      <c r="C11" s="3" t="s">
        <v>334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335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188</v>
      </c>
      <c r="B13" s="8" t="s">
        <v>104</v>
      </c>
      <c r="C13" s="3" t="s">
        <v>334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187</v>
      </c>
      <c r="B15" s="8" t="s">
        <v>104</v>
      </c>
      <c r="C15" s="3" t="s">
        <v>334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335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332</v>
      </c>
    </row>
    <row r="19" spans="1:7" ht="13" customHeight="1" x14ac:dyDescent="0.3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ht="13.25" customHeight="1" x14ac:dyDescent="0.25">
      <c r="A20" s="3" t="s">
        <v>169</v>
      </c>
      <c r="B20" s="8" t="s">
        <v>104</v>
      </c>
      <c r="C20" s="3" t="s">
        <v>334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335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188</v>
      </c>
      <c r="B22" s="8" t="s">
        <v>104</v>
      </c>
      <c r="C22" s="3" t="s">
        <v>334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335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187</v>
      </c>
      <c r="B24" s="8" t="s">
        <v>104</v>
      </c>
      <c r="C24" s="3" t="s">
        <v>334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335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lq+Eb3Dl02XaIGdlToYm0mKB9DciRU/W1gtyCztFBPqfxfxCO3JruKI7ZF/gDu7oBEA67AWNBtv5VPtUU3g0+A==" saltValue="16CWfdW+bdfnrR86AlDMNA==" spinCount="100000" sheet="1" objects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2024-03-18T01:21:28Z</dcterms:modified>
</cp:coreProperties>
</file>