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DE329FF7-ACE8-4F27-BAE1-538A596133F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35" i="2"/>
  <c r="A27" i="2"/>
  <c r="A19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I2" i="2" s="1"/>
  <c r="A2" i="2"/>
  <c r="A39" i="2" s="1"/>
  <c r="C33" i="1"/>
  <c r="C20" i="1"/>
  <c r="I4" i="2" l="1"/>
  <c r="I8" i="2"/>
  <c r="A37" i="2"/>
  <c r="A14" i="2"/>
  <c r="A30" i="2"/>
  <c r="A40" i="2"/>
  <c r="A20" i="2"/>
  <c r="A22" i="2"/>
  <c r="A38" i="2"/>
  <c r="A15" i="2"/>
  <c r="A23" i="2"/>
  <c r="A31" i="2"/>
  <c r="A12" i="2"/>
  <c r="A21" i="2"/>
  <c r="A3" i="2"/>
  <c r="A4" i="2" s="1"/>
  <c r="A5" i="2" s="1"/>
  <c r="A6" i="2" s="1"/>
  <c r="A7" i="2" s="1"/>
  <c r="A8" i="2" s="1"/>
  <c r="A9" i="2" s="1"/>
  <c r="A10" i="2" s="1"/>
  <c r="A11" i="2" s="1"/>
  <c r="A36" i="2"/>
  <c r="A13" i="2"/>
  <c r="A16" i="2"/>
  <c r="A24" i="2"/>
  <c r="A32" i="2"/>
  <c r="A17" i="2"/>
  <c r="A25" i="2"/>
  <c r="A33" i="2"/>
  <c r="A28" i="2"/>
  <c r="A29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<sst xmlns="http://schemas.openxmlformats.org/spreadsheetml/2006/main" count="2092" uniqueCount="337">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</sst>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150638.6005859375</v>
      </c>
    </row>
    <row r="8" spans="1:3" ht="15" customHeight="1" x14ac:dyDescent="0.25">
      <c r="B8" s="5" t="s">
        <v>19</v>
      </c>
      <c r="C8" s="44">
        <v>1E-3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0.91188728330000002</v>
      </c>
    </row>
    <row r="11" spans="1:3" ht="15" customHeight="1" x14ac:dyDescent="0.25">
      <c r="B11" s="5" t="s">
        <v>22</v>
      </c>
      <c r="C11" s="45">
        <v>0.84200000000000008</v>
      </c>
    </row>
    <row r="12" spans="1:3" ht="15" customHeight="1" x14ac:dyDescent="0.25">
      <c r="B12" s="5" t="s">
        <v>23</v>
      </c>
      <c r="C12" s="45">
        <v>0.87</v>
      </c>
    </row>
    <row r="13" spans="1:3" ht="15" customHeight="1" x14ac:dyDescent="0.25">
      <c r="B13" s="5" t="s">
        <v>24</v>
      </c>
      <c r="C13" s="45">
        <v>0.78099999999999992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3.7400000000000003E-2</v>
      </c>
    </row>
    <row r="24" spans="1:3" ht="15" customHeight="1" x14ac:dyDescent="0.25">
      <c r="B24" s="15" t="s">
        <v>33</v>
      </c>
      <c r="C24" s="45">
        <v>0.53110000000000002</v>
      </c>
    </row>
    <row r="25" spans="1:3" ht="15" customHeight="1" x14ac:dyDescent="0.25">
      <c r="B25" s="15" t="s">
        <v>34</v>
      </c>
      <c r="C25" s="45">
        <v>0.41370000000000001</v>
      </c>
    </row>
    <row r="26" spans="1:3" ht="15" customHeight="1" x14ac:dyDescent="0.25">
      <c r="B26" s="15" t="s">
        <v>35</v>
      </c>
      <c r="C26" s="45">
        <v>1.78E-2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4.2178857906418203</v>
      </c>
    </row>
    <row r="38" spans="1:5" ht="15" customHeight="1" x14ac:dyDescent="0.25">
      <c r="B38" s="11" t="s">
        <v>45</v>
      </c>
      <c r="C38" s="43">
        <v>5.0581398742528503</v>
      </c>
      <c r="D38" s="12"/>
      <c r="E38" s="13"/>
    </row>
    <row r="39" spans="1:5" ht="15" customHeight="1" x14ac:dyDescent="0.25">
      <c r="B39" s="11" t="s">
        <v>46</v>
      </c>
      <c r="C39" s="43">
        <v>5.8536895559859703</v>
      </c>
      <c r="D39" s="12"/>
      <c r="E39" s="12"/>
    </row>
    <row r="40" spans="1:5" ht="15" customHeight="1" x14ac:dyDescent="0.25">
      <c r="B40" s="11" t="s">
        <v>47</v>
      </c>
      <c r="C40" s="100">
        <v>0.1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2.7619540140000001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5.8349999999999999E-3</v>
      </c>
      <c r="D45" s="12"/>
    </row>
    <row r="46" spans="1:5" ht="15.75" customHeight="1" x14ac:dyDescent="0.25">
      <c r="B46" s="11" t="s">
        <v>52</v>
      </c>
      <c r="C46" s="45">
        <v>6.3463599999999995E-2</v>
      </c>
      <c r="D46" s="12"/>
    </row>
    <row r="47" spans="1:5" ht="15.75" customHeight="1" x14ac:dyDescent="0.25">
      <c r="B47" s="11" t="s">
        <v>53</v>
      </c>
      <c r="C47" s="45">
        <v>3.30342E-2</v>
      </c>
      <c r="D47" s="12"/>
      <c r="E47" s="13"/>
    </row>
    <row r="48" spans="1:5" ht="15" customHeight="1" x14ac:dyDescent="0.25">
      <c r="B48" s="11" t="s">
        <v>54</v>
      </c>
      <c r="C48" s="46">
        <v>0.89766720000000011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0.61777399999999993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3.3956865999999898E-2</v>
      </c>
    </row>
    <row r="63" spans="1:4" ht="15.75" customHeight="1" x14ac:dyDescent="0.3">
      <c r="A63" s="4"/>
    </row>
  </sheetData>
  <sheetProtection algorithmName="SHA-512" hashValue="RZYcPPp/vIiO/enlBpNmfJS2+sVNDZf1sKO5PZClfqTGzb/ITEsSP3KXhTJ2DNQw1xkQ2XK6V8t0jYum10NUZA==" saltValue="ImVNtO2C4XxAT5cv4Xv+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0.28042825124946502</v>
      </c>
      <c r="C2" s="98">
        <v>0.95</v>
      </c>
      <c r="D2" s="56">
        <v>62.267198925302971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39.975115048626499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480.84054251477158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7.5977498652403259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13.107414492422411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13.107414492422411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13.107414492422411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13.107414492422411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13.107414492422411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13.107414492422411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0.46246243958473199</v>
      </c>
      <c r="C16" s="98">
        <v>0.95</v>
      </c>
      <c r="D16" s="56">
        <v>0.81418029231775391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11.065100889871371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11.065100889871371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0.19614531099796301</v>
      </c>
      <c r="C21" s="98">
        <v>0.95</v>
      </c>
      <c r="D21" s="56">
        <v>79.90136660715082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22.669145438411171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5.4631352399999999E-3</v>
      </c>
      <c r="C23" s="98">
        <v>0.95</v>
      </c>
      <c r="D23" s="56">
        <v>4.3388595676177406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0.79086162611910193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0.248764296429482</v>
      </c>
      <c r="C27" s="98">
        <v>0.95</v>
      </c>
      <c r="D27" s="56">
        <v>18.641484890005319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0.36322349999999998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123.32014378516121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1.7708964965206571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0.1619959</v>
      </c>
      <c r="C32" s="98">
        <v>0.95</v>
      </c>
      <c r="D32" s="56">
        <v>1.7579636017261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0.95360235308728092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2.7958272003703142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JsMYlUoe2sohjUk+VgG5K0llMxT5NP6u8vbXX/kF58N+K17kRcFxJOxXrVQLUnzdslVbgZakiZt58ohgrXG9w==" saltValue="1/36QEB7pfDZBpC7t1uz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464EGTzeECihjjdOds3kYdHnzitr4cF7+PPEA9FenQwk8M3fMFwqXxxgk63D7PVHWW6ADkORPfds9LJ5VOdHSA==" saltValue="fIz10kTGnDcGp65sNF4H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AR4dqyL3gi8/yWS4i0tBLd1MyifMMJ1/I/X8hZQFSc1wfPFkXrsYAP4ymUeh+PeKWn9t8xcFkNdaZSf0/Lh9DA==" saltValue="UjUtbTWmaKBEwqfosUOxz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3.9738470129668697E-2</v>
      </c>
      <c r="C3" s="21">
        <f>frac_mam_1_5months * 2.6</f>
        <v>3.9738470129668697E-2</v>
      </c>
      <c r="D3" s="21">
        <f>frac_mam_6_11months * 2.6</f>
        <v>4.3825420364737439E-2</v>
      </c>
      <c r="E3" s="21">
        <f>frac_mam_12_23months * 2.6</f>
        <v>1.5634861588478079E-2</v>
      </c>
      <c r="F3" s="21">
        <f>frac_mam_24_59months * 2.6</f>
        <v>1.5226278919726602E-2</v>
      </c>
    </row>
    <row r="4" spans="1:6" ht="15.75" customHeight="1" x14ac:dyDescent="0.25">
      <c r="A4" s="3" t="s">
        <v>208</v>
      </c>
      <c r="B4" s="21">
        <f>frac_sam_1month * 2.6</f>
        <v>0.19002916216850282</v>
      </c>
      <c r="C4" s="21">
        <f>frac_sam_1_5months * 2.6</f>
        <v>0.19002916216850282</v>
      </c>
      <c r="D4" s="21">
        <f>frac_sam_6_11months * 2.6</f>
        <v>0</v>
      </c>
      <c r="E4" s="21">
        <f>frac_sam_12_23months * 2.6</f>
        <v>1.5853948518633837E-2</v>
      </c>
      <c r="F4" s="21">
        <f>frac_sam_24_59months * 2.6</f>
        <v>3.031134195625796E-2</v>
      </c>
    </row>
  </sheetData>
  <sheetProtection algorithmName="SHA-512" hashValue="dy1iSd1aInpzd9oWNbfppTK0VyMylasfrg/8+Cq4++sP4HEtCDGOFsuiQhGkB8tXrXyqY05rJswxv5IRiCfNnA==" saltValue="hUzS5cU3MjqxhbOusTtR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0.87</v>
      </c>
      <c r="E10" s="60">
        <f>IF(ISBLANK(comm_deliv), frac_children_health_facility,1)</f>
        <v>0.87</v>
      </c>
      <c r="F10" s="60">
        <f>IF(ISBLANK(comm_deliv), frac_children_health_facility,1)</f>
        <v>0.87</v>
      </c>
      <c r="G10" s="60">
        <f>IF(ISBLANK(comm_deliv), frac_children_health_facility,1)</f>
        <v>0.87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0.84200000000000008</v>
      </c>
      <c r="I18" s="60">
        <f>frac_PW_health_facility</f>
        <v>0.84200000000000008</v>
      </c>
      <c r="J18" s="60">
        <f>frac_PW_health_facility</f>
        <v>0.84200000000000008</v>
      </c>
      <c r="K18" s="60">
        <f>frac_PW_health_facility</f>
        <v>0.84200000000000008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0.78099999999999992</v>
      </c>
      <c r="M24" s="60">
        <f>famplan_unmet_need</f>
        <v>0.78099999999999992</v>
      </c>
      <c r="N24" s="60">
        <f>famplan_unmet_need</f>
        <v>0.78099999999999992</v>
      </c>
      <c r="O24" s="60">
        <f>famplan_unmet_need</f>
        <v>0.78099999999999992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4.3193734853506992E-2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1.8511600651502997E-2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2.640738119498999E-2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QZYJeLqPS0VPWx7vdRU4yTBjvdTzpnuS4wilpkJo4i4Yo9yF2Fg4qdnBFoS570cMxhSYRC8rAe4v9Ft/VRHXjg==" saltValue="kVtPRS+kV4ILBKikvZdX/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x8LCxpDQtc19onSRbNte4jUDPD1eN3W5aiCw5zOtR66EIxJn+lTgHiPFkGm8plwS/+ipbGpab1wH+uTAgh2xXQ==" saltValue="5AQVmR9pH+s2uBSYVFPaz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ugSh5SwOTmcrMj+modAwbLu4bQfdXWjtMaB3KfTUaFwR21QTrN0whZZQJKfoJ1Hzt/qOHhF9d0JQVMpCgQ/jbQ==" saltValue="ObGllO1kYVxBRfnypxwh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hUQIpA8IS8RLU1TzPfvDz+eOhqf2vI6alnhY39wlCiRK7sXpCbwhYb1qR3JrE1UJsLVw0Vdq4W6UNzZ2qzh3A==" saltValue="oH88zYm5XZUE0z8md5SCL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4KuKt3RLb9bL+Kzy/07wfMzy1hnEnTcF41jr8jj6cwciM1wpNXjMSsSyzVUdqnosGqJ5/ZnxBZmQDLGVmCsiyA==" saltValue="2maU3fn1NlJMl3jnC5Omh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n5lAZ2sAQ+maoA/oWkV5ZOE036Es8WIelnLLpq7LaIB9rOj8k8ZoIXLdrdOeDYgRFSBmk1gadnc3PoYOv9+5sQ==" saltValue="I/IlSsXAV5GhhkArIjzV2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32635.533599999999</v>
      </c>
      <c r="C2" s="49">
        <v>83000</v>
      </c>
      <c r="D2" s="49">
        <v>224000</v>
      </c>
      <c r="E2" s="49">
        <v>238000</v>
      </c>
      <c r="F2" s="49">
        <v>241000</v>
      </c>
      <c r="G2" s="17">
        <f t="shared" ref="G2:G11" si="0">C2+D2+E2+F2</f>
        <v>786000</v>
      </c>
      <c r="H2" s="17">
        <f t="shared" ref="H2:H11" si="1">(B2 + stillbirth*B2/(1000-stillbirth))/(1-abortion)</f>
        <v>37188.54669217491</v>
      </c>
      <c r="I2" s="17">
        <f t="shared" ref="I2:I11" si="2">G2-H2</f>
        <v>748811.45330782514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32556.5864</v>
      </c>
      <c r="C3" s="50">
        <v>82000</v>
      </c>
      <c r="D3" s="50">
        <v>218000</v>
      </c>
      <c r="E3" s="50">
        <v>237000</v>
      </c>
      <c r="F3" s="50">
        <v>241000</v>
      </c>
      <c r="G3" s="17">
        <f t="shared" si="0"/>
        <v>778000</v>
      </c>
      <c r="H3" s="17">
        <f t="shared" si="1"/>
        <v>37098.585496215906</v>
      </c>
      <c r="I3" s="17">
        <f t="shared" si="2"/>
        <v>740901.41450378415</v>
      </c>
    </row>
    <row r="4" spans="1:9" ht="15.75" customHeight="1" x14ac:dyDescent="0.25">
      <c r="A4" s="5">
        <f t="shared" si="3"/>
        <v>2023</v>
      </c>
      <c r="B4" s="49">
        <v>32468.314999999991</v>
      </c>
      <c r="C4" s="50">
        <v>83000</v>
      </c>
      <c r="D4" s="50">
        <v>212000</v>
      </c>
      <c r="E4" s="50">
        <v>235000</v>
      </c>
      <c r="F4" s="50">
        <v>239000</v>
      </c>
      <c r="G4" s="17">
        <f t="shared" si="0"/>
        <v>769000</v>
      </c>
      <c r="H4" s="17">
        <f t="shared" si="1"/>
        <v>36997.999272600915</v>
      </c>
      <c r="I4" s="17">
        <f t="shared" si="2"/>
        <v>732002.00072739914</v>
      </c>
    </row>
    <row r="5" spans="1:9" ht="15.75" customHeight="1" x14ac:dyDescent="0.25">
      <c r="A5" s="5">
        <f t="shared" si="3"/>
        <v>2024</v>
      </c>
      <c r="B5" s="49">
        <v>32380.06519999999</v>
      </c>
      <c r="C5" s="50">
        <v>84000</v>
      </c>
      <c r="D5" s="50">
        <v>205000</v>
      </c>
      <c r="E5" s="50">
        <v>234000</v>
      </c>
      <c r="F5" s="50">
        <v>238000</v>
      </c>
      <c r="G5" s="17">
        <f t="shared" si="0"/>
        <v>761000</v>
      </c>
      <c r="H5" s="17">
        <f t="shared" si="1"/>
        <v>36897.43766242166</v>
      </c>
      <c r="I5" s="17">
        <f t="shared" si="2"/>
        <v>724102.56233757839</v>
      </c>
    </row>
    <row r="6" spans="1:9" ht="15.75" customHeight="1" x14ac:dyDescent="0.25">
      <c r="A6" s="5">
        <f t="shared" si="3"/>
        <v>2025</v>
      </c>
      <c r="B6" s="49">
        <v>32282.495999999999</v>
      </c>
      <c r="C6" s="50">
        <v>83000</v>
      </c>
      <c r="D6" s="50">
        <v>197000</v>
      </c>
      <c r="E6" s="50">
        <v>234000</v>
      </c>
      <c r="F6" s="50">
        <v>238000</v>
      </c>
      <c r="G6" s="17">
        <f t="shared" si="0"/>
        <v>752000</v>
      </c>
      <c r="H6" s="17">
        <f t="shared" si="1"/>
        <v>36786.256494238842</v>
      </c>
      <c r="I6" s="17">
        <f t="shared" si="2"/>
        <v>715213.74350576114</v>
      </c>
    </row>
    <row r="7" spans="1:9" ht="15.75" customHeight="1" x14ac:dyDescent="0.25">
      <c r="A7" s="5">
        <f t="shared" si="3"/>
        <v>2026</v>
      </c>
      <c r="B7" s="49">
        <v>31894.40159999999</v>
      </c>
      <c r="C7" s="50">
        <v>83000</v>
      </c>
      <c r="D7" s="50">
        <v>191000</v>
      </c>
      <c r="E7" s="50">
        <v>232000</v>
      </c>
      <c r="F7" s="50">
        <v>237000</v>
      </c>
      <c r="G7" s="17">
        <f t="shared" si="0"/>
        <v>743000</v>
      </c>
      <c r="H7" s="17">
        <f t="shared" si="1"/>
        <v>36344.018690124249</v>
      </c>
      <c r="I7" s="17">
        <f t="shared" si="2"/>
        <v>706655.98130987573</v>
      </c>
    </row>
    <row r="8" spans="1:9" ht="15.75" customHeight="1" x14ac:dyDescent="0.25">
      <c r="A8" s="5">
        <f t="shared" si="3"/>
        <v>2027</v>
      </c>
      <c r="B8" s="49">
        <v>31498.730199999991</v>
      </c>
      <c r="C8" s="50">
        <v>82000</v>
      </c>
      <c r="D8" s="50">
        <v>184000</v>
      </c>
      <c r="E8" s="50">
        <v>232000</v>
      </c>
      <c r="F8" s="50">
        <v>237000</v>
      </c>
      <c r="G8" s="17">
        <f t="shared" si="0"/>
        <v>735000</v>
      </c>
      <c r="H8" s="17">
        <f t="shared" si="1"/>
        <v>35893.146811821083</v>
      </c>
      <c r="I8" s="17">
        <f t="shared" si="2"/>
        <v>699106.85318817897</v>
      </c>
    </row>
    <row r="9" spans="1:9" ht="15.75" customHeight="1" x14ac:dyDescent="0.25">
      <c r="A9" s="5">
        <f t="shared" si="3"/>
        <v>2028</v>
      </c>
      <c r="B9" s="49">
        <v>31104.822799999991</v>
      </c>
      <c r="C9" s="50">
        <v>80000</v>
      </c>
      <c r="D9" s="50">
        <v>178000</v>
      </c>
      <c r="E9" s="50">
        <v>231000</v>
      </c>
      <c r="F9" s="50">
        <v>237000</v>
      </c>
      <c r="G9" s="17">
        <f t="shared" si="0"/>
        <v>726000</v>
      </c>
      <c r="H9" s="17">
        <f t="shared" si="1"/>
        <v>35444.285030768624</v>
      </c>
      <c r="I9" s="17">
        <f t="shared" si="2"/>
        <v>690555.7149692314</v>
      </c>
    </row>
    <row r="10" spans="1:9" ht="15.75" customHeight="1" x14ac:dyDescent="0.25">
      <c r="A10" s="5">
        <f t="shared" si="3"/>
        <v>2029</v>
      </c>
      <c r="B10" s="49">
        <v>30703.69119999999</v>
      </c>
      <c r="C10" s="50">
        <v>79000</v>
      </c>
      <c r="D10" s="50">
        <v>172000</v>
      </c>
      <c r="E10" s="50">
        <v>230000</v>
      </c>
      <c r="F10" s="50">
        <v>237000</v>
      </c>
      <c r="G10" s="17">
        <f t="shared" si="0"/>
        <v>718000</v>
      </c>
      <c r="H10" s="17">
        <f t="shared" si="1"/>
        <v>34987.19119497772</v>
      </c>
      <c r="I10" s="17">
        <f t="shared" si="2"/>
        <v>683012.80880502227</v>
      </c>
    </row>
    <row r="11" spans="1:9" ht="15.75" customHeight="1" x14ac:dyDescent="0.25">
      <c r="A11" s="5">
        <f t="shared" si="3"/>
        <v>2030</v>
      </c>
      <c r="B11" s="49">
        <v>30304.5</v>
      </c>
      <c r="C11" s="50">
        <v>78000</v>
      </c>
      <c r="D11" s="50">
        <v>168000</v>
      </c>
      <c r="E11" s="50">
        <v>226000</v>
      </c>
      <c r="F11" s="50">
        <v>236000</v>
      </c>
      <c r="G11" s="17">
        <f t="shared" si="0"/>
        <v>708000</v>
      </c>
      <c r="H11" s="17">
        <f t="shared" si="1"/>
        <v>34532.30846616262</v>
      </c>
      <c r="I11" s="17">
        <f t="shared" si="2"/>
        <v>673467.69153383735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4Z0gbHhAS8OkQKLJSRJ5HQGcGsjcAzsMDEaRlkvAq+as957PuZ2EJRBcLUfGTYxz8xz507NaNk3+QTotAF0ozQ==" saltValue="4b2GWPSibD+v8nlEwgrhx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2.0480799517130315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2.0480799517130315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1.7493780202577112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1.7493780202577112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1.6260268216166192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1.6260268216166192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1.4755382989761392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1.4755382989761392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2.6326655387268967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2.6326655387268967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2.079539250460785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2.079539250460785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aYwkvb9PiNI4F4cqZHwBDK6fJSaOpvIGpSCJqVuWBMzuU6GcxqtNK3NN/wQRMeUAhlOxa5CKReRiRggCyuKBtA==" saltValue="Akd9Adjzr27l7naii0iDS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7IKpWKipSEjBsYHv8lCzCJN4OQG/kFqPMKTrUKgf4v9zj2NJJHo8eptzKWDHeoHuTQVhCx4BEg0W34qz1xiQGg==" saltValue="iUDz4Gm6rv4cLlPKxk7A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5DD+gF1DPstUlOi0kzjzsD6PZ0bXmk8B1Ai/ZzxeWiAjpd7NjUUQmGVF00ZiQCZMIvXtZ/UWZIAf8LYffmQ0IA==" saltValue="o0+CB80d6UH57WU+E9Qg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0.61594475914423641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0.60519158962781516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0.86869131337813832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0.86344591462410236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0.86869131337813832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0.86344591462410236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0.41480045519567954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0.4038661462088195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0.83638977149604854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0.83010638006683068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0.83638977149604854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0.83010638006683068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0.91208428038761047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0.90838950064803736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0.90120107421249362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0.8971005135579353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0.90120107421249362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0.8971005135579353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CH6VSU+MSlzHk8U14Pv02kqeG75N1AWUUysiV31rinqUuDWcyGdhdWLR7M6nQ8puCbUKalChs4yiVFxXezdyIQ==" saltValue="lqWlFdoM1hBc1YgjEerB1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SWBYx3yw4kk0J/UCBocOHVrvI1p454z3bRvQSbP8n6+NzILtBz4pHTKgWECf8P4piUV09/TKPyXt9Gw1YEfArQ==" saltValue="AzOHOTjtV2ffQcnXlE1o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0.59953505579223465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0.66745110042274314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0.66745110042274314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0.64351191688734954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0.64351191688734954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0.64351191688734954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0.64351191688734954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0.64481428861376089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0.64481428861376089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0.64481428861376089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0.64481428861376089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0.69959309498981903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0.75740632949665854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0.75740632949665854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0.73739495798319321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0.73739495798319321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0.73739495798319321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0.73739495798319321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0.73849372384937229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0.73849372384937229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0.73849372384937229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0.73849372384937229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0.40598442480542019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0.47815398108960788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0.47815398108960788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0.4517805215235734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0.4517805215235734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0.4517805215235734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0.4517805215235734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0.45318815082497266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0.45318815082497266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0.45318815082497266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0.45318815082497266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0.57599762156922218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0.64554544458362129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0.64554544458362129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0.62092494313874136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0.62092494313874136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0.62092494313874136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0.62092494313874136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0.62226139511458067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0.62226139511458067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0.62226139511458067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0.62226139511458067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0.94955765726306463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0.96188607417650174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0.96188607417650174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0.95780234618955173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0.95780234618955173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0.95780234618955173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0.95780234618955173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0.95803139251839609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0.95803139251839609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0.95803139251839609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0.95803139251839609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0.87005143833007637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0.89976035085848505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0.89976035085848505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0.88978287225834896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0.88978287225834896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0.88978287225834896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0.88978287225834896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0.89033885294440185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0.89033885294440185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0.89033885294440185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0.89033885294440185</v>
      </c>
    </row>
  </sheetData>
  <sheetProtection algorithmName="SHA-512" hashValue="2P8Tx/nSohu7GmhHxc7YgNQdKWlKwiocKVCFWBJeMkDNS9r++Q1TyYfYzQrFOxr5vvhVdGxx4lyscOV/oh+iYw==" saltValue="AoZ+jmFNjfbIpYLvCp05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0.73745175750425718</v>
      </c>
      <c r="E3" s="90" t="e">
        <f>IF(ISBLANK('Dist. de l''état nutritionnel'!E$11),(1/1.33),((1/1.33)*'Dist. de l''état nutritionnel'!E$11/(1-(1/1.33)*'Dist. de l''état nutritionnel'!E$11))
/ ('Dist. de l''état nutritionnel'!E$11/(1-'Dist. de l''état nutritionnel'!E$11)))</f>
        <v>#DIV/0!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0.75073689867669902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0.74968555035284923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0.74899521511083811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0.74869474891009813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0.75075276285306458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0.75078234310131275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0.63187972333887332</v>
      </c>
      <c r="E10" s="90" t="e">
        <f>IF(ISBLANK('Dist. de l''état nutritionnel'!E$11),(1/1.54),((1/1.54)*'Dist. de l''état nutritionnel'!E$11/(1-(1/1.54)*'Dist. de l''état nutritionnel'!E$11))
/ ('Dist. de l''état nutritionnel'!E$11/(1-'Dist. de l''état nutritionnel'!E$11)))</f>
        <v>#DIV/0!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0.64795672428333084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0.64667589214420418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0.64583567723244439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0.64547017517361316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0.64797606255299334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0.64801212147482845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0.85279395157551741</v>
      </c>
      <c r="E17" s="90" t="e">
        <f>IF(ISBLANK('Dist. de l''état nutritionnel'!E$11),(1/1.16),((1/1.16)*'Dist. de l''état nutritionnel'!E$11/(1-(1/1.16)*'Dist. de l''état nutritionnel'!E$11))
/ ('Dist. de l''état nutritionnel'!E$11/(1-'Dist. de l''état nutritionnel'!E$11)))</f>
        <v>#DIV/0!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0.86134008382872107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0.86066866051848578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0.86022733693765008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0.86003513964141021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0.86135020878817381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0.86136908721986516</v>
      </c>
    </row>
  </sheetData>
  <sheetProtection algorithmName="SHA-512" hashValue="0r7WchfO7ZlEtpfgUTgtk+FBFbePU3BkFdRxNfwoMHpyVzbrv7A4Joag+lOTLRYe9J/IcxTdtEo1K+5ZsKiIdw==" saltValue="AplNxftJoFJeOb9hKmKXN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Rv1X8EPaTFUmdGOVDOUbYBDAmdJU4cbOHVQWUusildVMc1CxIWINEb9Gabyj+vTNo5bpW1+4mnQ5eqmYL8Qyqg==" saltValue="cP4CHk0qTtdI0UlI2Trf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822GXWC3Zx6lhlh7PaXEXH2pFcyi8rq/EBAlOR4KS0b8Jxfx/5rpcQ4eqC+0l6ejBtiFtAQoS2oipirukYL9Sg==" saltValue="LlQE2NyrsEDsDjYFK6Q+5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5.1118499525227089E-2</v>
      </c>
    </row>
    <row r="5" spans="1:8" ht="15.75" customHeight="1" x14ac:dyDescent="0.25">
      <c r="B5" s="19" t="s">
        <v>80</v>
      </c>
      <c r="C5" s="101">
        <v>4.0375205060669467E-2</v>
      </c>
    </row>
    <row r="6" spans="1:8" ht="15.75" customHeight="1" x14ac:dyDescent="0.25">
      <c r="B6" s="19" t="s">
        <v>81</v>
      </c>
      <c r="C6" s="101">
        <v>0.1187386288620349</v>
      </c>
    </row>
    <row r="7" spans="1:8" ht="15.75" customHeight="1" x14ac:dyDescent="0.25">
      <c r="B7" s="19" t="s">
        <v>82</v>
      </c>
      <c r="C7" s="101">
        <v>0.40308133954730108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0.30387710977728027</v>
      </c>
    </row>
    <row r="10" spans="1:8" ht="15.75" customHeight="1" x14ac:dyDescent="0.25">
      <c r="B10" s="19" t="s">
        <v>85</v>
      </c>
      <c r="C10" s="101">
        <v>8.2809217227487103E-2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2.4006392443578901E-2</v>
      </c>
      <c r="D14" s="55">
        <v>2.4006392443578901E-2</v>
      </c>
      <c r="E14" s="55">
        <v>2.4006392443578901E-2</v>
      </c>
      <c r="F14" s="55">
        <v>2.4006392443578901E-2</v>
      </c>
    </row>
    <row r="15" spans="1:8" ht="15.75" customHeight="1" x14ac:dyDescent="0.25">
      <c r="B15" s="19" t="s">
        <v>88</v>
      </c>
      <c r="C15" s="101">
        <v>0.1012633103353708</v>
      </c>
      <c r="D15" s="101">
        <v>0.1012633103353708</v>
      </c>
      <c r="E15" s="101">
        <v>0.1012633103353708</v>
      </c>
      <c r="F15" s="101">
        <v>0.1012633103353708</v>
      </c>
    </row>
    <row r="16" spans="1:8" ht="15.75" customHeight="1" x14ac:dyDescent="0.25">
      <c r="B16" s="19" t="s">
        <v>89</v>
      </c>
      <c r="C16" s="101">
        <v>2.0599619094173651E-2</v>
      </c>
      <c r="D16" s="101">
        <v>2.0599619094173651E-2</v>
      </c>
      <c r="E16" s="101">
        <v>2.0599619094173651E-2</v>
      </c>
      <c r="F16" s="101">
        <v>2.0599619094173651E-2</v>
      </c>
    </row>
    <row r="17" spans="1:8" ht="15.75" customHeight="1" x14ac:dyDescent="0.25">
      <c r="B17" s="19" t="s">
        <v>90</v>
      </c>
      <c r="C17" s="101">
        <v>5.233910682371324E-2</v>
      </c>
      <c r="D17" s="101">
        <v>5.233910682371324E-2</v>
      </c>
      <c r="E17" s="101">
        <v>5.233910682371324E-2</v>
      </c>
      <c r="F17" s="101">
        <v>5.233910682371324E-2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9.1728922200068393E-3</v>
      </c>
      <c r="D19" s="101">
        <v>9.1728922200068393E-3</v>
      </c>
      <c r="E19" s="101">
        <v>9.1728922200068393E-3</v>
      </c>
      <c r="F19" s="101">
        <v>9.1728922200068393E-3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0.1092153444449659</v>
      </c>
      <c r="D21" s="101">
        <v>0.1092153444449659</v>
      </c>
      <c r="E21" s="101">
        <v>0.1092153444449659</v>
      </c>
      <c r="F21" s="101">
        <v>0.1092153444449659</v>
      </c>
    </row>
    <row r="22" spans="1:8" ht="15.75" customHeight="1" x14ac:dyDescent="0.25">
      <c r="B22" s="19" t="s">
        <v>95</v>
      </c>
      <c r="C22" s="101">
        <v>0.6834033346381907</v>
      </c>
      <c r="D22" s="101">
        <v>0.6834033346381907</v>
      </c>
      <c r="E22" s="101">
        <v>0.6834033346381907</v>
      </c>
      <c r="F22" s="101">
        <v>0.6834033346381907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5.5773718999999999E-2</v>
      </c>
    </row>
    <row r="27" spans="1:8" ht="15.75" customHeight="1" x14ac:dyDescent="0.25">
      <c r="B27" s="19" t="s">
        <v>102</v>
      </c>
      <c r="C27" s="101">
        <v>5.7652142000000003E-2</v>
      </c>
    </row>
    <row r="28" spans="1:8" ht="15.75" customHeight="1" x14ac:dyDescent="0.25">
      <c r="B28" s="19" t="s">
        <v>103</v>
      </c>
      <c r="C28" s="101">
        <v>0.12384268499999999</v>
      </c>
    </row>
    <row r="29" spans="1:8" ht="15.75" customHeight="1" x14ac:dyDescent="0.25">
      <c r="B29" s="19" t="s">
        <v>104</v>
      </c>
      <c r="C29" s="101">
        <v>0.136252816</v>
      </c>
    </row>
    <row r="30" spans="1:8" ht="15.75" customHeight="1" x14ac:dyDescent="0.25">
      <c r="B30" s="19" t="s">
        <v>2</v>
      </c>
      <c r="C30" s="101">
        <v>8.3258572000000003E-2</v>
      </c>
    </row>
    <row r="31" spans="1:8" ht="15.75" customHeight="1" x14ac:dyDescent="0.25">
      <c r="B31" s="19" t="s">
        <v>105</v>
      </c>
      <c r="C31" s="101">
        <v>6.5980006999999993E-2</v>
      </c>
    </row>
    <row r="32" spans="1:8" ht="15.75" customHeight="1" x14ac:dyDescent="0.25">
      <c r="B32" s="19" t="s">
        <v>106</v>
      </c>
      <c r="C32" s="101">
        <v>0.12997820099999999</v>
      </c>
    </row>
    <row r="33" spans="2:3" ht="15.75" customHeight="1" x14ac:dyDescent="0.25">
      <c r="B33" s="19" t="s">
        <v>107</v>
      </c>
      <c r="C33" s="101">
        <v>0.124636924</v>
      </c>
    </row>
    <row r="34" spans="2:3" ht="15.75" customHeight="1" x14ac:dyDescent="0.25">
      <c r="B34" s="19" t="s">
        <v>108</v>
      </c>
      <c r="C34" s="101">
        <v>0.222624933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feZnbAOu0hAt+dGfKg0ROqDBjaQDnU/pfx3v0l2hcG1tvBzD4TVAFqz4lUtIvzLJp/QV57CRWOadYZvACMZGgw==" saltValue="/NsAue0yrbDzSKlAbG0v6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0.5011213988387031</v>
      </c>
      <c r="D2" s="52">
        <f>IFERROR(1-_xlfn.NORM.DIST(_xlfn.NORM.INV(SUM(D4:D5), 0, 1) + 1, 0, 1, TRUE), "")</f>
        <v>0.5011213988387031</v>
      </c>
      <c r="E2" s="52">
        <f>IFERROR(1-_xlfn.NORM.DIST(_xlfn.NORM.INV(SUM(E4:E5), 0, 1) + 1, 0, 1, TRUE), "")</f>
        <v>0.61554531704824345</v>
      </c>
      <c r="F2" s="52">
        <f>IFERROR(1-_xlfn.NORM.DIST(_xlfn.NORM.INV(SUM(F4:F5), 0, 1) + 1, 0, 1, TRUE), "")</f>
        <v>0.53603368738761104</v>
      </c>
      <c r="G2" s="52">
        <f>IFERROR(1-_xlfn.NORM.DIST(_xlfn.NORM.INV(SUM(G4:G5), 0, 1) + 1, 0, 1, TRUE), "")</f>
        <v>0.70785260258671034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0.34090255495672983</v>
      </c>
      <c r="D3" s="52">
        <f>IFERROR(_xlfn.NORM.DIST(_xlfn.NORM.INV(SUM(D4:D5), 0, 1) + 1, 0, 1, TRUE) - SUM(D4:D5), "")</f>
        <v>0.34090255495672983</v>
      </c>
      <c r="E3" s="52">
        <f>IFERROR(_xlfn.NORM.DIST(_xlfn.NORM.INV(SUM(E4:E5), 0, 1) + 1, 0, 1, TRUE) - SUM(E4:E5), "")</f>
        <v>0.286587736120411</v>
      </c>
      <c r="F3" s="52">
        <f>IFERROR(_xlfn.NORM.DIST(_xlfn.NORM.INV(SUM(F4:F5), 0, 1) + 1, 0, 1, TRUE) - SUM(F4:F5), "")</f>
        <v>0.32620799800286132</v>
      </c>
      <c r="G3" s="52">
        <f>IFERROR(_xlfn.NORM.DIST(_xlfn.NORM.INV(SUM(G4:G5), 0, 1) + 1, 0, 1, TRUE) - SUM(G4:G5), "")</f>
        <v>0.23123050422910466</v>
      </c>
    </row>
    <row r="4" spans="1:15" ht="15.75" customHeight="1" x14ac:dyDescent="0.25">
      <c r="B4" s="5" t="s">
        <v>114</v>
      </c>
      <c r="C4" s="45">
        <v>7.4163332581520094E-2</v>
      </c>
      <c r="D4" s="53">
        <v>7.4163332581520094E-2</v>
      </c>
      <c r="E4" s="53">
        <v>7.3369085788726793E-2</v>
      </c>
      <c r="F4" s="53">
        <v>7.6801851391792297E-2</v>
      </c>
      <c r="G4" s="53">
        <v>3.5072166472673402E-2</v>
      </c>
    </row>
    <row r="5" spans="1:15" ht="15.75" customHeight="1" x14ac:dyDescent="0.25">
      <c r="B5" s="5" t="s">
        <v>115</v>
      </c>
      <c r="C5" s="45">
        <v>8.3812713623046889E-2</v>
      </c>
      <c r="D5" s="53">
        <v>8.3812713623046889E-2</v>
      </c>
      <c r="E5" s="53">
        <v>2.44978610426188E-2</v>
      </c>
      <c r="F5" s="53">
        <v>6.0956463217735297E-2</v>
      </c>
      <c r="G5" s="53">
        <v>2.5844726711511602E-2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0.63714856875547587</v>
      </c>
      <c r="D8" s="52">
        <f>IFERROR(1-_xlfn.NORM.DIST(_xlfn.NORM.INV(SUM(D10:D11), 0, 1) + 1, 0, 1, TRUE), "")</f>
        <v>0.63714856875547587</v>
      </c>
      <c r="E8" s="52">
        <f>IFERROR(1-_xlfn.NORM.DIST(_xlfn.NORM.INV(SUM(E10:E11), 0, 1) + 1, 0, 1, TRUE), "")</f>
        <v>0.86938768792426224</v>
      </c>
      <c r="F8" s="52">
        <f>IFERROR(1-_xlfn.NORM.DIST(_xlfn.NORM.INV(SUM(F10:F11), 0, 1) + 1, 0, 1, TRUE), "")</f>
        <v>0.89500392147304919</v>
      </c>
      <c r="G8" s="52">
        <f>IFERROR(1-_xlfn.NORM.DIST(_xlfn.NORM.INV(SUM(G10:G11), 0, 1) + 1, 0, 1, TRUE), "")</f>
        <v>0.8660742104886443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0.27447926497599662</v>
      </c>
      <c r="D9" s="52">
        <f>IFERROR(_xlfn.NORM.DIST(_xlfn.NORM.INV(SUM(D10:D11), 0, 1) + 1, 0, 1, TRUE) - SUM(D10:D11), "")</f>
        <v>0.27447926497599662</v>
      </c>
      <c r="E9" s="52">
        <f>IFERROR(_xlfn.NORM.DIST(_xlfn.NORM.INV(SUM(E10:E11), 0, 1) + 1, 0, 1, TRUE) - SUM(E10:E11), "")</f>
        <v>0.11375638116622333</v>
      </c>
      <c r="F9" s="52">
        <f>IFERROR(_xlfn.NORM.DIST(_xlfn.NORM.INV(SUM(F10:F11), 0, 1) + 1, 0, 1, TRUE) - SUM(F10:F11), "")</f>
        <v>9.2884997716523088E-2</v>
      </c>
      <c r="G9" s="52">
        <f>IFERROR(_xlfn.NORM.DIST(_xlfn.NORM.INV(SUM(G10:G11), 0, 1) + 1, 0, 1, TRUE) - SUM(G10:G11), "")</f>
        <v>0.11641131994366932</v>
      </c>
    </row>
    <row r="10" spans="1:15" ht="15.75" customHeight="1" x14ac:dyDescent="0.25">
      <c r="B10" s="5" t="s">
        <v>119</v>
      </c>
      <c r="C10" s="45">
        <v>1.52840269729495E-2</v>
      </c>
      <c r="D10" s="53">
        <v>1.52840269729495E-2</v>
      </c>
      <c r="E10" s="53">
        <v>1.6855930909514399E-2</v>
      </c>
      <c r="F10" s="53">
        <v>6.0134083032607998E-3</v>
      </c>
      <c r="G10" s="53">
        <v>5.8562611229717697E-3</v>
      </c>
    </row>
    <row r="11" spans="1:15" ht="15.75" customHeight="1" x14ac:dyDescent="0.25">
      <c r="B11" s="5" t="s">
        <v>120</v>
      </c>
      <c r="C11" s="45">
        <v>7.3088139295578003E-2</v>
      </c>
      <c r="D11" s="53">
        <v>7.3088139295578003E-2</v>
      </c>
      <c r="E11" s="53">
        <v>0</v>
      </c>
      <c r="F11" s="53">
        <v>6.0976725071668599E-3</v>
      </c>
      <c r="G11" s="53">
        <v>1.16582084447146E-2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0.41136791174999998</v>
      </c>
      <c r="D14" s="54">
        <v>0.41779542736699998</v>
      </c>
      <c r="E14" s="54">
        <v>0.41779542736699998</v>
      </c>
      <c r="F14" s="54">
        <v>0.219470227804</v>
      </c>
      <c r="G14" s="54">
        <v>0.219470227804</v>
      </c>
      <c r="H14" s="45">
        <v>0.29799999999999999</v>
      </c>
      <c r="I14" s="55">
        <v>0.29799999999999999</v>
      </c>
      <c r="J14" s="55">
        <v>0.29799999999999999</v>
      </c>
      <c r="K14" s="55">
        <v>0.29799999999999999</v>
      </c>
      <c r="L14" s="45">
        <v>0.29399999999999998</v>
      </c>
      <c r="M14" s="55">
        <v>0.29399999999999998</v>
      </c>
      <c r="N14" s="55">
        <v>0.29399999999999998</v>
      </c>
      <c r="O14" s="55">
        <v>0.29399999999999998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0.25413240031344447</v>
      </c>
      <c r="D15" s="52">
        <f t="shared" si="0"/>
        <v>0.258103152346221</v>
      </c>
      <c r="E15" s="52">
        <f t="shared" si="0"/>
        <v>0.258103152346221</v>
      </c>
      <c r="F15" s="52">
        <f t="shared" si="0"/>
        <v>0.13558300051138827</v>
      </c>
      <c r="G15" s="52">
        <f t="shared" si="0"/>
        <v>0.13558300051138827</v>
      </c>
      <c r="H15" s="52">
        <f t="shared" si="0"/>
        <v>0.18409665199999997</v>
      </c>
      <c r="I15" s="52">
        <f t="shared" si="0"/>
        <v>0.18409665199999997</v>
      </c>
      <c r="J15" s="52">
        <f t="shared" si="0"/>
        <v>0.18409665199999997</v>
      </c>
      <c r="K15" s="52">
        <f t="shared" si="0"/>
        <v>0.18409665199999997</v>
      </c>
      <c r="L15" s="52">
        <f t="shared" si="0"/>
        <v>0.18162555599999997</v>
      </c>
      <c r="M15" s="52">
        <f t="shared" si="0"/>
        <v>0.18162555599999997</v>
      </c>
      <c r="N15" s="52">
        <f t="shared" si="0"/>
        <v>0.18162555599999997</v>
      </c>
      <c r="O15" s="52">
        <f t="shared" si="0"/>
        <v>0.18162555599999997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JClCrWjekic/jHvrP1qtnQrA6SJ/ahQ+HLayeK0Iqwvxv3h72B2oFwUkLoni4kGsEwiFCPgxK3Er1hEyN/T42A==" saltValue="dWoSTHSerIULSekS4ZdO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0.29851898550987199</v>
      </c>
      <c r="D2" s="53">
        <v>0.1619959</v>
      </c>
      <c r="E2" s="53"/>
      <c r="F2" s="53"/>
      <c r="G2" s="53"/>
    </row>
    <row r="3" spans="1:7" x14ac:dyDescent="0.25">
      <c r="B3" s="3" t="s">
        <v>130</v>
      </c>
      <c r="C3" s="53">
        <v>0.28573414683342002</v>
      </c>
      <c r="D3" s="53">
        <v>0.27325430000000001</v>
      </c>
      <c r="E3" s="53"/>
      <c r="F3" s="53"/>
      <c r="G3" s="53"/>
    </row>
    <row r="4" spans="1:7" x14ac:dyDescent="0.25">
      <c r="B4" s="3" t="s">
        <v>131</v>
      </c>
      <c r="C4" s="53">
        <v>0.29176387190818798</v>
      </c>
      <c r="D4" s="53">
        <v>0.28245740000000003</v>
      </c>
      <c r="E4" s="53">
        <v>0.45839709043502802</v>
      </c>
      <c r="F4" s="53">
        <v>0.117301903665066</v>
      </c>
      <c r="G4" s="53"/>
    </row>
    <row r="5" spans="1:7" x14ac:dyDescent="0.25">
      <c r="B5" s="3" t="s">
        <v>132</v>
      </c>
      <c r="C5" s="52">
        <v>0.12398301064968099</v>
      </c>
      <c r="D5" s="52">
        <v>0.28229236602783198</v>
      </c>
      <c r="E5" s="52">
        <f>1-SUM(E2:E4)</f>
        <v>0.54160290956497192</v>
      </c>
      <c r="F5" s="52">
        <f>1-SUM(F2:F4)</f>
        <v>0.88269809633493401</v>
      </c>
      <c r="G5" s="52">
        <f>1-SUM(G2:G4)</f>
        <v>1</v>
      </c>
    </row>
  </sheetData>
  <sheetProtection algorithmName="SHA-512" hashValue="ZfISfZUDDDnMCIlAgTuDG6NBBAQ7y51fybllvEyGvQ/mMYbWMQwTvMFS1p89SVPjSkV19ugiwhzw7r5E9SEhTQ==" saltValue="4I9WiWThCJzvfcEILWTyI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Wkodgu+i/OLPSN43/9xcoRXeHG+N/Vdse1Y9KJn5e2qkS5CsaQUonb5RY5x78eVK+28nQrCU7ZQwFfz/Mq/gQ==" saltValue="x1jU8EVfaezqh5kY9s/Es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clRWLcVvo222ZkzPlvL9d8IguE5p90Wh4VBSgZsq5xwRQzlqpTDu6KZVJ9bnCaV4QAymsMZnsXITGcXd7onTeg==" saltValue="9XoXgM7CcZG66Tt0Xdw0Z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aZknkNvhfKEXfW8VlGZNzVaX/tnSb8MUvQHjB4QzjV+cB9CWDA5zNANRVVNbbvYSXfMK2J+HDdUIB/UJ3GKT3g==" saltValue="xl8PNuV0GR+KTNv7DRRUN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f0gNZE0G71LWMKJ8a/MfM3SCpqxHPd4pc3zVRtQdJMWwm9ItLtVbAhItSHgv0Xh1GnF/IF/VLr7c0XVAu0l5qw==" saltValue="f3s+Pu9d8VhddEPYbVp6R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2024-03-18T01:23:38Z</dcterms:modified>
</cp:coreProperties>
</file>