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B72BDBB9-CF3D-45CC-845D-1507812B1E8D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H38" i="2"/>
  <c r="I38" i="2" s="1"/>
  <c r="G38" i="2"/>
  <c r="A35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I7" i="2"/>
  <c r="H7" i="2"/>
  <c r="G7" i="2"/>
  <c r="H6" i="2"/>
  <c r="G6" i="2"/>
  <c r="I6" i="2" s="1"/>
  <c r="H5" i="2"/>
  <c r="I5" i="2" s="1"/>
  <c r="G5" i="2"/>
  <c r="H4" i="2"/>
  <c r="G4" i="2"/>
  <c r="I3" i="2"/>
  <c r="H3" i="2"/>
  <c r="G3" i="2"/>
  <c r="H2" i="2"/>
  <c r="G2" i="2"/>
  <c r="I2" i="2" s="1"/>
  <c r="A2" i="2"/>
  <c r="A39" i="2" s="1"/>
  <c r="C33" i="1"/>
  <c r="C20" i="1"/>
  <c r="A19" i="2" l="1"/>
  <c r="A37" i="2"/>
  <c r="A13" i="2"/>
  <c r="A21" i="2"/>
  <c r="I39" i="2"/>
  <c r="A27" i="2"/>
  <c r="I4" i="2"/>
  <c r="A29" i="2"/>
  <c r="A12" i="2"/>
  <c r="A20" i="2"/>
  <c r="A28" i="2"/>
  <c r="A36" i="2"/>
  <c r="A30" i="2"/>
  <c r="A22" i="2"/>
  <c r="A40" i="2"/>
  <c r="A15" i="2"/>
  <c r="A23" i="2"/>
  <c r="A31" i="2"/>
  <c r="A14" i="2"/>
  <c r="A38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17" i="2"/>
  <c r="A25" i="2"/>
  <c r="A33" i="2"/>
  <c r="A18" i="2"/>
  <c r="A26" i="2"/>
  <c r="A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<sst xmlns="http://schemas.openxmlformats.org/spreadsheetml/2006/main" count="2092" uniqueCount="337">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</sst>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323342.7265625</v>
      </c>
    </row>
    <row r="8" spans="1:3" ht="15" customHeight="1" x14ac:dyDescent="0.25">
      <c r="B8" s="5" t="s">
        <v>19</v>
      </c>
      <c r="C8" s="44">
        <v>1.4E-2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0.33406288146972701</v>
      </c>
    </row>
    <row r="11" spans="1:3" ht="15" customHeight="1" x14ac:dyDescent="0.25">
      <c r="B11" s="5" t="s">
        <v>22</v>
      </c>
      <c r="C11" s="45">
        <v>0.442</v>
      </c>
    </row>
    <row r="12" spans="1:3" ht="15" customHeight="1" x14ac:dyDescent="0.25">
      <c r="B12" s="5" t="s">
        <v>23</v>
      </c>
      <c r="C12" s="45">
        <v>0.44</v>
      </c>
    </row>
    <row r="13" spans="1:3" ht="15" customHeight="1" x14ac:dyDescent="0.25">
      <c r="B13" s="5" t="s">
        <v>24</v>
      </c>
      <c r="C13" s="45">
        <v>0.68900000000000006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0.13689999999999999</v>
      </c>
    </row>
    <row r="24" spans="1:3" ht="15" customHeight="1" x14ac:dyDescent="0.25">
      <c r="B24" s="15" t="s">
        <v>33</v>
      </c>
      <c r="C24" s="45">
        <v>0.45260000000000011</v>
      </c>
    </row>
    <row r="25" spans="1:3" ht="15" customHeight="1" x14ac:dyDescent="0.25">
      <c r="B25" s="15" t="s">
        <v>34</v>
      </c>
      <c r="C25" s="45">
        <v>0.30809999999999998</v>
      </c>
    </row>
    <row r="26" spans="1:3" ht="15" customHeight="1" x14ac:dyDescent="0.25">
      <c r="B26" s="15" t="s">
        <v>35</v>
      </c>
      <c r="C26" s="45">
        <v>0.1024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0.35675533525383901</v>
      </c>
    </row>
    <row r="30" spans="1:3" ht="14.25" customHeight="1" x14ac:dyDescent="0.25">
      <c r="B30" s="25" t="s">
        <v>38</v>
      </c>
      <c r="C30" s="99">
        <v>6.5910586704521698E-2</v>
      </c>
    </row>
    <row r="31" spans="1:3" ht="14.25" customHeight="1" x14ac:dyDescent="0.25">
      <c r="B31" s="25" t="s">
        <v>39</v>
      </c>
      <c r="C31" s="99">
        <v>9.262041217609189E-2</v>
      </c>
    </row>
    <row r="32" spans="1:3" ht="14.25" customHeight="1" x14ac:dyDescent="0.25">
      <c r="B32" s="25" t="s">
        <v>40</v>
      </c>
      <c r="C32" s="99">
        <v>0.48471366586554798</v>
      </c>
    </row>
    <row r="33" spans="1:5" ht="13" customHeight="1" x14ac:dyDescent="0.25">
      <c r="B33" s="27" t="s">
        <v>41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6.1573833137445604</v>
      </c>
    </row>
    <row r="38" spans="1:5" ht="15" customHeight="1" x14ac:dyDescent="0.25">
      <c r="B38" s="11" t="s">
        <v>45</v>
      </c>
      <c r="C38" s="43">
        <v>7.5435707882581999</v>
      </c>
      <c r="D38" s="12"/>
      <c r="E38" s="13"/>
    </row>
    <row r="39" spans="1:5" ht="15" customHeight="1" x14ac:dyDescent="0.25">
      <c r="B39" s="11" t="s">
        <v>46</v>
      </c>
      <c r="C39" s="43">
        <v>8.6192212346124695</v>
      </c>
      <c r="D39" s="12"/>
      <c r="E39" s="12"/>
    </row>
    <row r="40" spans="1:5" ht="15" customHeight="1" x14ac:dyDescent="0.25">
      <c r="B40" s="11" t="s">
        <v>47</v>
      </c>
      <c r="C40" s="100">
        <v>0.27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4.4836800459999999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7.6683000000000003E-3</v>
      </c>
      <c r="D45" s="12"/>
    </row>
    <row r="46" spans="1:5" ht="15.75" customHeight="1" x14ac:dyDescent="0.25">
      <c r="B46" s="11" t="s">
        <v>52</v>
      </c>
      <c r="C46" s="45">
        <v>7.7032299999999998E-2</v>
      </c>
      <c r="D46" s="12"/>
    </row>
    <row r="47" spans="1:5" ht="15.75" customHeight="1" x14ac:dyDescent="0.25">
      <c r="B47" s="11" t="s">
        <v>53</v>
      </c>
      <c r="C47" s="45">
        <v>5.80098E-2</v>
      </c>
      <c r="D47" s="12"/>
      <c r="E47" s="13"/>
    </row>
    <row r="48" spans="1:5" ht="15" customHeight="1" x14ac:dyDescent="0.25">
      <c r="B48" s="11" t="s">
        <v>54</v>
      </c>
      <c r="C48" s="46">
        <v>0.85728959999999998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3.2</v>
      </c>
      <c r="D51" s="12"/>
    </row>
    <row r="52" spans="1:4" ht="15" customHeight="1" x14ac:dyDescent="0.25">
      <c r="B52" s="11" t="s">
        <v>57</v>
      </c>
      <c r="C52" s="100">
        <v>3.2</v>
      </c>
    </row>
    <row r="53" spans="1:4" ht="15.75" customHeight="1" x14ac:dyDescent="0.25">
      <c r="B53" s="11" t="s">
        <v>58</v>
      </c>
      <c r="C53" s="100">
        <v>3.2</v>
      </c>
    </row>
    <row r="54" spans="1:4" ht="15.75" customHeight="1" x14ac:dyDescent="0.25">
      <c r="B54" s="11" t="s">
        <v>59</v>
      </c>
      <c r="C54" s="100">
        <v>3.2</v>
      </c>
    </row>
    <row r="55" spans="1:4" ht="15.75" customHeight="1" x14ac:dyDescent="0.25">
      <c r="B55" s="11" t="s">
        <v>60</v>
      </c>
      <c r="C55" s="100">
        <v>3.2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1.9375E-2</v>
      </c>
    </row>
    <row r="59" spans="1:4" ht="15.75" customHeight="1" x14ac:dyDescent="0.25">
      <c r="B59" s="11" t="s">
        <v>63</v>
      </c>
      <c r="C59" s="45">
        <v>0.54813400000000001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0.15460177999999999</v>
      </c>
    </row>
    <row r="63" spans="1:4" ht="15.75" customHeight="1" x14ac:dyDescent="0.3">
      <c r="A63" s="4"/>
    </row>
  </sheetData>
  <sheetProtection algorithmName="SHA-512" hashValue="XIyX5VaqECJV+d2Hqu54l3ixmKrwcJHoDZCeYFgQ2+jNFJB+YwA9dci/9ZiytTVZ+DxpEjPTG3kmeGmILM8gEw==" saltValue="x4PZPaPgXChvtpipY0CcD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947978.11120000004</v>
      </c>
      <c r="C2" s="49">
        <v>1430000</v>
      </c>
      <c r="D2" s="49">
        <v>2324000</v>
      </c>
      <c r="E2" s="49">
        <v>1586000</v>
      </c>
      <c r="F2" s="49">
        <v>1083000</v>
      </c>
      <c r="G2" s="17">
        <f t="shared" ref="G2:G11" si="0">C2+D2+E2+F2</f>
        <v>6423000</v>
      </c>
      <c r="H2" s="17">
        <f t="shared" ref="H2:H11" si="1">(B2 + stillbirth*B2/(1000-stillbirth))/(1-abortion)</f>
        <v>1082099.6422099241</v>
      </c>
      <c r="I2" s="17">
        <f t="shared" ref="I2:I11" si="2">G2-H2</f>
        <v>5340900.3577900762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962754.47639999993</v>
      </c>
      <c r="C3" s="50">
        <v>1458000</v>
      </c>
      <c r="D3" s="50">
        <v>2389000</v>
      </c>
      <c r="E3" s="50">
        <v>1636000</v>
      </c>
      <c r="F3" s="50">
        <v>1120000</v>
      </c>
      <c r="G3" s="17">
        <f t="shared" si="0"/>
        <v>6603000</v>
      </c>
      <c r="H3" s="17">
        <f t="shared" si="1"/>
        <v>1098966.5923084265</v>
      </c>
      <c r="I3" s="17">
        <f t="shared" si="2"/>
        <v>5504033.4076915737</v>
      </c>
    </row>
    <row r="4" spans="1:9" ht="15.75" customHeight="1" x14ac:dyDescent="0.25">
      <c r="A4" s="5">
        <f t="shared" si="3"/>
        <v>2023</v>
      </c>
      <c r="B4" s="49">
        <v>977582.85240000009</v>
      </c>
      <c r="C4" s="50">
        <v>1488000</v>
      </c>
      <c r="D4" s="50">
        <v>2454000</v>
      </c>
      <c r="E4" s="50">
        <v>1690000</v>
      </c>
      <c r="F4" s="50">
        <v>1157000</v>
      </c>
      <c r="G4" s="17">
        <f t="shared" si="0"/>
        <v>6789000</v>
      </c>
      <c r="H4" s="17">
        <f t="shared" si="1"/>
        <v>1115892.91178203</v>
      </c>
      <c r="I4" s="17">
        <f t="shared" si="2"/>
        <v>5673107.08821797</v>
      </c>
    </row>
    <row r="5" spans="1:9" ht="15.75" customHeight="1" x14ac:dyDescent="0.25">
      <c r="A5" s="5">
        <f t="shared" si="3"/>
        <v>2024</v>
      </c>
      <c r="B5" s="49">
        <v>992449.64800000016</v>
      </c>
      <c r="C5" s="50">
        <v>1520000</v>
      </c>
      <c r="D5" s="50">
        <v>2517000</v>
      </c>
      <c r="E5" s="50">
        <v>1747000</v>
      </c>
      <c r="F5" s="50">
        <v>1193000</v>
      </c>
      <c r="G5" s="17">
        <f t="shared" si="0"/>
        <v>6977000</v>
      </c>
      <c r="H5" s="17">
        <f t="shared" si="1"/>
        <v>1132863.0865249932</v>
      </c>
      <c r="I5" s="17">
        <f t="shared" si="2"/>
        <v>5844136.9134750068</v>
      </c>
    </row>
    <row r="6" spans="1:9" ht="15.75" customHeight="1" x14ac:dyDescent="0.25">
      <c r="A6" s="5">
        <f t="shared" si="3"/>
        <v>2025</v>
      </c>
      <c r="B6" s="49">
        <v>1007307.231</v>
      </c>
      <c r="C6" s="50">
        <v>1555000</v>
      </c>
      <c r="D6" s="50">
        <v>2578000</v>
      </c>
      <c r="E6" s="50">
        <v>1808000</v>
      </c>
      <c r="F6" s="50">
        <v>1231000</v>
      </c>
      <c r="G6" s="17">
        <f t="shared" si="0"/>
        <v>7172000</v>
      </c>
      <c r="H6" s="17">
        <f t="shared" si="1"/>
        <v>1149822.7452538772</v>
      </c>
      <c r="I6" s="17">
        <f t="shared" si="2"/>
        <v>6022177.2547461223</v>
      </c>
    </row>
    <row r="7" spans="1:9" ht="15.75" customHeight="1" x14ac:dyDescent="0.25">
      <c r="A7" s="5">
        <f t="shared" si="3"/>
        <v>2026</v>
      </c>
      <c r="B7" s="49">
        <v>1022412.4036</v>
      </c>
      <c r="C7" s="50">
        <v>1591000</v>
      </c>
      <c r="D7" s="50">
        <v>2637000</v>
      </c>
      <c r="E7" s="50">
        <v>1870000</v>
      </c>
      <c r="F7" s="50">
        <v>1269000</v>
      </c>
      <c r="G7" s="17">
        <f t="shared" si="0"/>
        <v>7367000</v>
      </c>
      <c r="H7" s="17">
        <f t="shared" si="1"/>
        <v>1167065.0229740751</v>
      </c>
      <c r="I7" s="17">
        <f t="shared" si="2"/>
        <v>6199934.9770259252</v>
      </c>
    </row>
    <row r="8" spans="1:9" ht="15.75" customHeight="1" x14ac:dyDescent="0.25">
      <c r="A8" s="5">
        <f t="shared" si="3"/>
        <v>2027</v>
      </c>
      <c r="B8" s="49">
        <v>1037498.49</v>
      </c>
      <c r="C8" s="50">
        <v>1631000</v>
      </c>
      <c r="D8" s="50">
        <v>2694000</v>
      </c>
      <c r="E8" s="50">
        <v>1937000</v>
      </c>
      <c r="F8" s="50">
        <v>1305000</v>
      </c>
      <c r="G8" s="17">
        <f t="shared" si="0"/>
        <v>7567000</v>
      </c>
      <c r="H8" s="17">
        <f t="shared" si="1"/>
        <v>1184285.5141467284</v>
      </c>
      <c r="I8" s="17">
        <f t="shared" si="2"/>
        <v>6382714.4858532716</v>
      </c>
    </row>
    <row r="9" spans="1:9" ht="15.75" customHeight="1" x14ac:dyDescent="0.25">
      <c r="A9" s="5">
        <f t="shared" si="3"/>
        <v>2028</v>
      </c>
      <c r="B9" s="49">
        <v>1052553.2598000001</v>
      </c>
      <c r="C9" s="50">
        <v>1673000</v>
      </c>
      <c r="D9" s="50">
        <v>2751000</v>
      </c>
      <c r="E9" s="50">
        <v>2006000</v>
      </c>
      <c r="F9" s="50">
        <v>1345000</v>
      </c>
      <c r="G9" s="17">
        <f t="shared" si="0"/>
        <v>7775000</v>
      </c>
      <c r="H9" s="17">
        <f t="shared" si="1"/>
        <v>1201470.2579943594</v>
      </c>
      <c r="I9" s="17">
        <f t="shared" si="2"/>
        <v>6573529.7420056406</v>
      </c>
    </row>
    <row r="10" spans="1:9" ht="15.75" customHeight="1" x14ac:dyDescent="0.25">
      <c r="A10" s="5">
        <f t="shared" si="3"/>
        <v>2029</v>
      </c>
      <c r="B10" s="49">
        <v>1067597.2692</v>
      </c>
      <c r="C10" s="50">
        <v>1716000</v>
      </c>
      <c r="D10" s="50">
        <v>2810000</v>
      </c>
      <c r="E10" s="50">
        <v>2074000</v>
      </c>
      <c r="F10" s="50">
        <v>1386000</v>
      </c>
      <c r="G10" s="17">
        <f t="shared" si="0"/>
        <v>7986000</v>
      </c>
      <c r="H10" s="17">
        <f t="shared" si="1"/>
        <v>1218642.7190425743</v>
      </c>
      <c r="I10" s="17">
        <f t="shared" si="2"/>
        <v>6767357.2809574259</v>
      </c>
    </row>
    <row r="11" spans="1:9" ht="15.75" customHeight="1" x14ac:dyDescent="0.25">
      <c r="A11" s="5">
        <f t="shared" si="3"/>
        <v>2030</v>
      </c>
      <c r="B11" s="49">
        <v>1082552.4010000001</v>
      </c>
      <c r="C11" s="50">
        <v>1759000</v>
      </c>
      <c r="D11" s="50">
        <v>2873000</v>
      </c>
      <c r="E11" s="50">
        <v>2141000</v>
      </c>
      <c r="F11" s="50">
        <v>1431000</v>
      </c>
      <c r="G11" s="17">
        <f t="shared" si="0"/>
        <v>8204000</v>
      </c>
      <c r="H11" s="17">
        <f t="shared" si="1"/>
        <v>1235713.7279390742</v>
      </c>
      <c r="I11" s="17">
        <f t="shared" si="2"/>
        <v>6968286.2720609261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0uHiFbiH4cFpHIAnuyvdy+p8fVNP5ezlmaN6QXBKjDJjzl8u0KN4f8be60QLDRNblALs+aqU5CtFqXyw576KQ==" saltValue="qKpN93IYVQIcOud2IRtreg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2.236840100862876E-2</v>
      </c>
    </row>
    <row r="5" spans="1:8" ht="15.75" customHeight="1" x14ac:dyDescent="0.25">
      <c r="B5" s="19" t="s">
        <v>80</v>
      </c>
      <c r="C5" s="101">
        <v>2.7828901869366401E-2</v>
      </c>
    </row>
    <row r="6" spans="1:8" ht="15.75" customHeight="1" x14ac:dyDescent="0.25">
      <c r="B6" s="19" t="s">
        <v>81</v>
      </c>
      <c r="C6" s="101">
        <v>0.10535892521549731</v>
      </c>
    </row>
    <row r="7" spans="1:8" ht="15.75" customHeight="1" x14ac:dyDescent="0.25">
      <c r="B7" s="19" t="s">
        <v>82</v>
      </c>
      <c r="C7" s="101">
        <v>0.40982172882225898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0.39392497298393803</v>
      </c>
    </row>
    <row r="10" spans="1:8" ht="15.75" customHeight="1" x14ac:dyDescent="0.25">
      <c r="B10" s="19" t="s">
        <v>85</v>
      </c>
      <c r="C10" s="101">
        <v>4.0697070100310678E-2</v>
      </c>
    </row>
    <row r="11" spans="1:8" ht="15.75" customHeight="1" x14ac:dyDescent="0.25">
      <c r="B11" s="27" t="s">
        <v>41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3.0100854799463211E-2</v>
      </c>
      <c r="D14" s="55">
        <v>3.0100854799463211E-2</v>
      </c>
      <c r="E14" s="55">
        <v>3.0100854799463211E-2</v>
      </c>
      <c r="F14" s="55">
        <v>3.0100854799463211E-2</v>
      </c>
    </row>
    <row r="15" spans="1:8" ht="15.75" customHeight="1" x14ac:dyDescent="0.25">
      <c r="B15" s="19" t="s">
        <v>88</v>
      </c>
      <c r="C15" s="101">
        <v>7.4836490071676878E-2</v>
      </c>
      <c r="D15" s="101">
        <v>7.4836490071676878E-2</v>
      </c>
      <c r="E15" s="101">
        <v>7.4836490071676878E-2</v>
      </c>
      <c r="F15" s="101">
        <v>7.4836490071676878E-2</v>
      </c>
    </row>
    <row r="16" spans="1:8" ht="15.75" customHeight="1" x14ac:dyDescent="0.25">
      <c r="B16" s="19" t="s">
        <v>89</v>
      </c>
      <c r="C16" s="101">
        <v>2.0367798948042939E-2</v>
      </c>
      <c r="D16" s="101">
        <v>2.0367798948042939E-2</v>
      </c>
      <c r="E16" s="101">
        <v>2.0367798948042939E-2</v>
      </c>
      <c r="F16" s="101">
        <v>2.0367798948042939E-2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2.1566323907605458E-3</v>
      </c>
      <c r="D19" s="101">
        <v>2.1566323907605458E-3</v>
      </c>
      <c r="E19" s="101">
        <v>2.1566323907605458E-3</v>
      </c>
      <c r="F19" s="101">
        <v>2.1566323907605458E-3</v>
      </c>
    </row>
    <row r="20" spans="1:8" ht="15.75" customHeight="1" x14ac:dyDescent="0.25">
      <c r="B20" s="19" t="s">
        <v>93</v>
      </c>
      <c r="C20" s="101">
        <v>0.14952667703961739</v>
      </c>
      <c r="D20" s="101">
        <v>0.14952667703961739</v>
      </c>
      <c r="E20" s="101">
        <v>0.14952667703961739</v>
      </c>
      <c r="F20" s="101">
        <v>0.14952667703961739</v>
      </c>
    </row>
    <row r="21" spans="1:8" ht="15.75" customHeight="1" x14ac:dyDescent="0.25">
      <c r="B21" s="19" t="s">
        <v>94</v>
      </c>
      <c r="C21" s="101">
        <v>9.6059007995162413E-2</v>
      </c>
      <c r="D21" s="101">
        <v>9.6059007995162413E-2</v>
      </c>
      <c r="E21" s="101">
        <v>9.6059007995162413E-2</v>
      </c>
      <c r="F21" s="101">
        <v>9.6059007995162413E-2</v>
      </c>
    </row>
    <row r="22" spans="1:8" ht="15.75" customHeight="1" x14ac:dyDescent="0.25">
      <c r="B22" s="19" t="s">
        <v>95</v>
      </c>
      <c r="C22" s="101">
        <v>0.62695253875527646</v>
      </c>
      <c r="D22" s="101">
        <v>0.62695253875527646</v>
      </c>
      <c r="E22" s="101">
        <v>0.62695253875527646</v>
      </c>
      <c r="F22" s="101">
        <v>0.62695253875527646</v>
      </c>
    </row>
    <row r="23" spans="1:8" ht="15.75" customHeight="1" x14ac:dyDescent="0.25">
      <c r="B23" s="27" t="s">
        <v>41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4.3847376999999993E-2</v>
      </c>
    </row>
    <row r="27" spans="1:8" ht="15.75" customHeight="1" x14ac:dyDescent="0.25">
      <c r="B27" s="19" t="s">
        <v>102</v>
      </c>
      <c r="C27" s="101">
        <v>3.4044087000000001E-2</v>
      </c>
    </row>
    <row r="28" spans="1:8" ht="15.75" customHeight="1" x14ac:dyDescent="0.25">
      <c r="B28" s="19" t="s">
        <v>103</v>
      </c>
      <c r="C28" s="101">
        <v>4.3283602999999997E-2</v>
      </c>
    </row>
    <row r="29" spans="1:8" ht="15.75" customHeight="1" x14ac:dyDescent="0.25">
      <c r="B29" s="19" t="s">
        <v>104</v>
      </c>
      <c r="C29" s="101">
        <v>0.177569167</v>
      </c>
    </row>
    <row r="30" spans="1:8" ht="15.75" customHeight="1" x14ac:dyDescent="0.25">
      <c r="B30" s="19" t="s">
        <v>2</v>
      </c>
      <c r="C30" s="101">
        <v>3.1893660999999997E-2</v>
      </c>
    </row>
    <row r="31" spans="1:8" ht="15.75" customHeight="1" x14ac:dyDescent="0.25">
      <c r="B31" s="19" t="s">
        <v>105</v>
      </c>
      <c r="C31" s="101">
        <v>9.3503550000000005E-2</v>
      </c>
    </row>
    <row r="32" spans="1:8" ht="15.75" customHeight="1" x14ac:dyDescent="0.25">
      <c r="B32" s="19" t="s">
        <v>106</v>
      </c>
      <c r="C32" s="101">
        <v>7.8392814000000005E-2</v>
      </c>
    </row>
    <row r="33" spans="2:3" ht="15.75" customHeight="1" x14ac:dyDescent="0.25">
      <c r="B33" s="19" t="s">
        <v>107</v>
      </c>
      <c r="C33" s="101">
        <v>0.15751110600000001</v>
      </c>
    </row>
    <row r="34" spans="2:3" ht="15.75" customHeight="1" x14ac:dyDescent="0.25">
      <c r="B34" s="19" t="s">
        <v>108</v>
      </c>
      <c r="C34" s="101">
        <v>0.33995463500000001</v>
      </c>
    </row>
    <row r="35" spans="2:3" ht="15.75" customHeight="1" x14ac:dyDescent="0.25">
      <c r="B35" s="27" t="s">
        <v>41</v>
      </c>
      <c r="C35" s="48">
        <f>SUM(C26:C34)</f>
        <v>1</v>
      </c>
    </row>
  </sheetData>
  <sheetProtection algorithmName="SHA-512" hashValue="LoUC5L2jK1+ToIwVYN/3YivfcMgniKeNbHIzFzWo95scirmqWcQNHaQ/QC7eZIPCEaW/7M5sXxZJHJURPuPGGg==" saltValue="VR62rR5HvZeERAjw4HVbX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0.93833866148798106</v>
      </c>
      <c r="D2" s="52">
        <f>IFERROR(1-_xlfn.NORM.DIST(_xlfn.NORM.INV(SUM(D4:D5), 0, 1) + 1, 0, 1, TRUE), "")</f>
        <v>0.93833866148798106</v>
      </c>
      <c r="E2" s="52">
        <f>IFERROR(1-_xlfn.NORM.DIST(_xlfn.NORM.INV(SUM(E4:E5), 0, 1) + 1, 0, 1, TRUE), "")</f>
        <v>0.97657259788527084</v>
      </c>
      <c r="F2" s="52">
        <f>IFERROR(1-_xlfn.NORM.DIST(_xlfn.NORM.INV(SUM(F4:F5), 0, 1) + 1, 0, 1, TRUE), "")</f>
        <v>0.76771322469849701</v>
      </c>
      <c r="G2" s="52">
        <f>IFERROR(1-_xlfn.NORM.DIST(_xlfn.NORM.INV(SUM(G4:G5), 0, 1) + 1, 0, 1, TRUE), "")</f>
        <v>0.76772724821307881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5.6134159912018915E-2</v>
      </c>
      <c r="D3" s="52">
        <f>IFERROR(_xlfn.NORM.DIST(_xlfn.NORM.INV(SUM(D4:D5), 0, 1) + 1, 0, 1, TRUE) - SUM(D4:D5), "")</f>
        <v>5.6134159912018915E-2</v>
      </c>
      <c r="E3" s="52">
        <f>IFERROR(_xlfn.NORM.DIST(_xlfn.NORM.INV(SUM(E4:E5), 0, 1) + 1, 0, 1, TRUE) - SUM(E4:E5), "")</f>
        <v>2.2021563114729165E-2</v>
      </c>
      <c r="F3" s="52">
        <f>IFERROR(_xlfn.NORM.DIST(_xlfn.NORM.INV(SUM(F4:F5), 0, 1) + 1, 0, 1, TRUE) - SUM(F4:F5), "")</f>
        <v>0.19059090600150297</v>
      </c>
      <c r="G3" s="52">
        <f>IFERROR(_xlfn.NORM.DIST(_xlfn.NORM.INV(SUM(G4:G5), 0, 1) + 1, 0, 1, TRUE) - SUM(G4:G5), "")</f>
        <v>0.19058097588692124</v>
      </c>
    </row>
    <row r="4" spans="1:15" ht="15.75" customHeight="1" x14ac:dyDescent="0.25">
      <c r="B4" s="5" t="s">
        <v>114</v>
      </c>
      <c r="C4" s="45">
        <v>5.5271786E-3</v>
      </c>
      <c r="D4" s="53">
        <v>5.5271786E-3</v>
      </c>
      <c r="E4" s="53">
        <v>0</v>
      </c>
      <c r="F4" s="53">
        <v>3.6424096000000003E-2</v>
      </c>
      <c r="G4" s="53">
        <v>3.7740078000000003E-2</v>
      </c>
    </row>
    <row r="5" spans="1:15" ht="15.75" customHeight="1" x14ac:dyDescent="0.25">
      <c r="B5" s="5" t="s">
        <v>115</v>
      </c>
      <c r="C5" s="45">
        <v>0</v>
      </c>
      <c r="D5" s="53">
        <v>0</v>
      </c>
      <c r="E5" s="53">
        <v>1.4058390000000001E-3</v>
      </c>
      <c r="F5" s="53">
        <v>5.2717733000000001E-3</v>
      </c>
      <c r="G5" s="53">
        <v>3.9516979000000004E-3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0.86844633964209028</v>
      </c>
      <c r="D8" s="52">
        <f>IFERROR(1-_xlfn.NORM.DIST(_xlfn.NORM.INV(SUM(D10:D11), 0, 1) + 1, 0, 1, TRUE), "")</f>
        <v>0.86844633964209028</v>
      </c>
      <c r="E8" s="52">
        <f>IFERROR(1-_xlfn.NORM.DIST(_xlfn.NORM.INV(SUM(E10:E11), 0, 1) + 1, 0, 1, TRUE), "")</f>
        <v>0.94854441272980083</v>
      </c>
      <c r="F8" s="52">
        <f>IFERROR(1-_xlfn.NORM.DIST(_xlfn.NORM.INV(SUM(F10:F11), 0, 1) + 1, 0, 1, TRUE), "")</f>
        <v>0.83838131374153957</v>
      </c>
      <c r="G8" s="52">
        <f>IFERROR(1-_xlfn.NORM.DIST(_xlfn.NORM.INV(SUM(G10:G11), 0, 1) + 1, 0, 1, TRUE), "")</f>
        <v>0.85944405584287498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0.11451167735790969</v>
      </c>
      <c r="D9" s="52">
        <f>IFERROR(_xlfn.NORM.DIST(_xlfn.NORM.INV(SUM(D10:D11), 0, 1) + 1, 0, 1, TRUE) - SUM(D10:D11), "")</f>
        <v>0.11451167735790969</v>
      </c>
      <c r="E9" s="52">
        <f>IFERROR(_xlfn.NORM.DIST(_xlfn.NORM.INV(SUM(E10:E11), 0, 1) + 1, 0, 1, TRUE) - SUM(E10:E11), "")</f>
        <v>4.7197647470199125E-2</v>
      </c>
      <c r="F9" s="52">
        <f>IFERROR(_xlfn.NORM.DIST(_xlfn.NORM.INV(SUM(F10:F11), 0, 1) + 1, 0, 1, TRUE) - SUM(F10:F11), "")</f>
        <v>0.13820327405846045</v>
      </c>
      <c r="G9" s="52">
        <f>IFERROR(_xlfn.NORM.DIST(_xlfn.NORM.INV(SUM(G10:G11), 0, 1) + 1, 0, 1, TRUE) - SUM(G10:G11), "")</f>
        <v>0.12169320112712502</v>
      </c>
    </row>
    <row r="10" spans="1:15" ht="15.75" customHeight="1" x14ac:dyDescent="0.25">
      <c r="B10" s="5" t="s">
        <v>119</v>
      </c>
      <c r="C10" s="45">
        <v>1.5226834999999999E-2</v>
      </c>
      <c r="D10" s="53">
        <v>1.5226834999999999E-2</v>
      </c>
      <c r="E10" s="53">
        <v>4.2579397999999999E-3</v>
      </c>
      <c r="F10" s="53">
        <v>1.9031348999999999E-2</v>
      </c>
      <c r="G10" s="53">
        <v>1.8356117000000002E-2</v>
      </c>
    </row>
    <row r="11" spans="1:15" ht="15.75" customHeight="1" x14ac:dyDescent="0.25">
      <c r="B11" s="5" t="s">
        <v>120</v>
      </c>
      <c r="C11" s="45">
        <v>1.8151479999999999E-3</v>
      </c>
      <c r="D11" s="53">
        <v>1.8151479999999999E-3</v>
      </c>
      <c r="E11" s="53">
        <v>0</v>
      </c>
      <c r="F11" s="53">
        <v>4.3840631999999997E-3</v>
      </c>
      <c r="G11" s="53">
        <v>5.0662603000000003E-4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0.95296559150000004</v>
      </c>
      <c r="D14" s="54">
        <v>0.95116511860899999</v>
      </c>
      <c r="E14" s="54">
        <v>0.95116511860899999</v>
      </c>
      <c r="F14" s="54">
        <v>0.76734861546599997</v>
      </c>
      <c r="G14" s="54">
        <v>0.76734861546599997</v>
      </c>
      <c r="H14" s="45">
        <v>0.247</v>
      </c>
      <c r="I14" s="55">
        <v>0.247</v>
      </c>
      <c r="J14" s="55">
        <v>0.247</v>
      </c>
      <c r="K14" s="55">
        <v>0.247</v>
      </c>
      <c r="L14" s="45">
        <v>0.14599999999999999</v>
      </c>
      <c r="M14" s="55">
        <v>0.14599999999999999</v>
      </c>
      <c r="N14" s="55">
        <v>0.14599999999999999</v>
      </c>
      <c r="O14" s="55">
        <v>0.14599999999999999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0.52235284153126105</v>
      </c>
      <c r="D15" s="52">
        <f t="shared" si="0"/>
        <v>0.52136594112362566</v>
      </c>
      <c r="E15" s="52">
        <f t="shared" si="0"/>
        <v>0.52136594112362566</v>
      </c>
      <c r="F15" s="52">
        <f t="shared" si="0"/>
        <v>0.42060986598984046</v>
      </c>
      <c r="G15" s="52">
        <f t="shared" si="0"/>
        <v>0.42060986598984046</v>
      </c>
      <c r="H15" s="52">
        <f t="shared" si="0"/>
        <v>0.13538909800000001</v>
      </c>
      <c r="I15" s="52">
        <f t="shared" si="0"/>
        <v>0.13538909800000001</v>
      </c>
      <c r="J15" s="52">
        <f t="shared" si="0"/>
        <v>0.13538909800000001</v>
      </c>
      <c r="K15" s="52">
        <f t="shared" si="0"/>
        <v>0.13538909800000001</v>
      </c>
      <c r="L15" s="52">
        <f t="shared" si="0"/>
        <v>8.0027563999999995E-2</v>
      </c>
      <c r="M15" s="52">
        <f t="shared" si="0"/>
        <v>8.0027563999999995E-2</v>
      </c>
      <c r="N15" s="52">
        <f t="shared" si="0"/>
        <v>8.0027563999999995E-2</v>
      </c>
      <c r="O15" s="52">
        <f t="shared" si="0"/>
        <v>8.0027563999999995E-2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4bWjbz3pwaxJ2hfFBWNBe8Kjaf4Tf+gdSb82KENy0AZk/P48zamyyZVGp+JsZn5fUZXkRzxMqTf11H19oa+VnA==" saltValue="rduQ9u3tNVGQl4Hc18VDT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0.43854946140000001</v>
      </c>
      <c r="D2" s="53">
        <v>0.22471399</v>
      </c>
      <c r="E2" s="53"/>
      <c r="F2" s="53"/>
      <c r="G2" s="53"/>
    </row>
    <row r="3" spans="1:7" x14ac:dyDescent="0.25">
      <c r="B3" s="3" t="s">
        <v>130</v>
      </c>
      <c r="C3" s="53">
        <v>8.4647979999999998E-2</v>
      </c>
      <c r="D3" s="53">
        <v>0.14546853000000001</v>
      </c>
      <c r="E3" s="53"/>
      <c r="F3" s="53"/>
      <c r="G3" s="53"/>
    </row>
    <row r="4" spans="1:7" x14ac:dyDescent="0.25">
      <c r="B4" s="3" t="s">
        <v>131</v>
      </c>
      <c r="C4" s="53">
        <v>0.37770904999999999</v>
      </c>
      <c r="D4" s="53">
        <v>0.45987926000000001</v>
      </c>
      <c r="E4" s="53">
        <v>0.68089199066162098</v>
      </c>
      <c r="F4" s="53">
        <v>0.39779895544052102</v>
      </c>
      <c r="G4" s="53"/>
    </row>
    <row r="5" spans="1:7" x14ac:dyDescent="0.25">
      <c r="B5" s="3" t="s">
        <v>132</v>
      </c>
      <c r="C5" s="52">
        <v>9.9093484879999985E-2</v>
      </c>
      <c r="D5" s="52">
        <v>0.16993823999999999</v>
      </c>
      <c r="E5" s="52">
        <f>1-SUM(E2:E4)</f>
        <v>0.31910800933837902</v>
      </c>
      <c r="F5" s="52">
        <f>1-SUM(F2:F4)</f>
        <v>0.60220104455947898</v>
      </c>
      <c r="G5" s="52">
        <f>1-SUM(G2:G4)</f>
        <v>1</v>
      </c>
    </row>
  </sheetData>
  <sheetProtection algorithmName="SHA-512" hashValue="Cs3INZWtSe1+xHyei/fcZiP8x9CG02NQEB9zFwURDub+xD1s4ikRbHg7un4Ox4+lZDPII7WH023Ag9beQKn86A==" saltValue="JKhMzKxeIrMwX7fhkOGad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PVDv10+iaZNBOlkT2rJ/R/Vbc0GH4gAjv7SosnUC2YsH15xSdIYxxJddPL885VEK87MADVJ+KkY12jcZHaHuiQ==" saltValue="aI5UBhABvm/x09IQF6sRG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ht="13.25" customHeight="1" x14ac:dyDescent="0.25">
      <c r="A2" s="8" t="s">
        <v>145</v>
      </c>
      <c r="B2" s="41">
        <v>10</v>
      </c>
    </row>
    <row r="3" spans="1:2" ht="13.25" customHeight="1" x14ac:dyDescent="0.25">
      <c r="A3" s="8" t="s">
        <v>150</v>
      </c>
      <c r="B3" s="41">
        <v>10</v>
      </c>
    </row>
    <row r="4" spans="1:2" ht="13.25" customHeight="1" x14ac:dyDescent="0.25">
      <c r="A4" s="8" t="s">
        <v>146</v>
      </c>
      <c r="B4" s="41">
        <v>10</v>
      </c>
    </row>
    <row r="5" spans="1:2" ht="13.25" customHeight="1" x14ac:dyDescent="0.25">
      <c r="A5" s="8" t="s">
        <v>147</v>
      </c>
      <c r="B5" s="41">
        <v>10</v>
      </c>
    </row>
    <row r="6" spans="1:2" ht="13.25" customHeight="1" x14ac:dyDescent="0.25">
      <c r="A6" s="8" t="s">
        <v>148</v>
      </c>
      <c r="B6" s="41">
        <v>10</v>
      </c>
    </row>
    <row r="7" spans="1:2" ht="13.25" customHeight="1" x14ac:dyDescent="0.25">
      <c r="A7" s="8" t="s">
        <v>149</v>
      </c>
      <c r="B7" s="41">
        <v>10</v>
      </c>
    </row>
  </sheetData>
  <sheetProtection algorithmName="SHA-512" hashValue="zttB7ljZuvY7hCTcQRoQF/N30ljZZeLrEwsaUGZ5wD2/jEdW0v6QR0se/419LTcIlbmVfWdbAjQNLtAkZT0Mlw==" saltValue="QMl2L5pH+PiQFsLvfTbbO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97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98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109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96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156</v>
      </c>
      <c r="C21" s="31"/>
      <c r="D21" s="30"/>
      <c r="E21" s="47"/>
    </row>
  </sheetData>
  <sheetProtection algorithmName="SHA-512" hashValue="Nwl/q1g8zcVVWdU3sfHdiEBQ48pNy8N2317OXs79MpXD76pyC0UCutJ/0+HYRTPRoldPywNWlD77EGUcU86gwg==" saltValue="vR7+yb+700FYDEM/BHlNV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o4e52VAo06x9/o3im1uCubWw4cDpxAKLa7oNQLL/zdS+vJpXCM9O+Yt7mMspWxWXRiMshvMCfeviQZVRFQzD6w==" saltValue="EPye0Xa3WtSczOI/+hsn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0.63209012076205195</v>
      </c>
      <c r="C2" s="98">
        <v>0.95</v>
      </c>
      <c r="D2" s="56">
        <v>41.387637286401322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44.781858972877899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153.4973723658575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0.29312507679810212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14.30692084199827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14.30692084199827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14.30692084199827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14.30692084199827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14.30692084199827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14.30692084199827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0.75127765838598504</v>
      </c>
      <c r="C16" s="98">
        <v>0.95</v>
      </c>
      <c r="D16" s="56">
        <v>0.36320040935559378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3.617191631009383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3.617191631009383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0.20890825269999999</v>
      </c>
      <c r="C21" s="98">
        <v>0.95</v>
      </c>
      <c r="D21" s="56">
        <v>2.758347102408317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24.452045938305751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3.2008066180000003E-2</v>
      </c>
      <c r="C23" s="98">
        <v>0.95</v>
      </c>
      <c r="D23" s="56">
        <v>4.7321919239691654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0.89337655369133406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0.61467118137531007</v>
      </c>
      <c r="C27" s="98">
        <v>0.95</v>
      </c>
      <c r="D27" s="56">
        <v>20.61562649086434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0.56282257079999998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75.665679869964904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0.89524516395230957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0.22471399</v>
      </c>
      <c r="C32" s="98">
        <v>0.95</v>
      </c>
      <c r="D32" s="56">
        <v>0.73334431799167266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0.97818360252186098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4.8103308680000012E-2</v>
      </c>
      <c r="C38" s="98">
        <v>0.95</v>
      </c>
      <c r="D38" s="56">
        <v>5.7467676630794493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0.75648277279999998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D4LvNZHhb1mNAxbNmUHlHezQvXZKTo4+6gZcWHYtMYJapB7oUZDHZqqQRDv7JHjSakdxn50OGpmAmLirjEXE4Q==" saltValue="O4v00/EzoUn8vw0E2CrTP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ht="13.25" customHeight="1" x14ac:dyDescent="0.25">
      <c r="A2" s="57" t="s">
        <v>180</v>
      </c>
      <c r="B2" s="47" t="s">
        <v>190</v>
      </c>
      <c r="C2" s="47"/>
    </row>
    <row r="3" spans="1:3" ht="13.25" customHeight="1" x14ac:dyDescent="0.25">
      <c r="A3" s="57" t="s">
        <v>181</v>
      </c>
      <c r="B3" s="47" t="s">
        <v>190</v>
      </c>
      <c r="C3" s="47"/>
    </row>
    <row r="4" spans="1:3" ht="13.25" customHeight="1" x14ac:dyDescent="0.25">
      <c r="A4" s="57" t="s">
        <v>192</v>
      </c>
      <c r="B4" s="47" t="s">
        <v>185</v>
      </c>
      <c r="C4" s="47"/>
    </row>
    <row r="5" spans="1:3" ht="13.25" customHeight="1" x14ac:dyDescent="0.25">
      <c r="A5" s="57" t="s">
        <v>189</v>
      </c>
      <c r="B5" s="47" t="s">
        <v>185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y+zunIjjvaoMzCvKgW3sD5Ks0V30IzSto2it/Xrw/KMZMiCNgqjQjDnXTfgAI08tIdLD345MUkzuL1QiGJ1Fqw==" saltValue="84tAEodjyV7QwRH/Fhgli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ht="13.25" customHeight="1" x14ac:dyDescent="0.25">
      <c r="A2" s="33" t="s">
        <v>172</v>
      </c>
    </row>
    <row r="3" spans="1:1" ht="13.25" customHeight="1" x14ac:dyDescent="0.25">
      <c r="A3" s="33" t="s">
        <v>182</v>
      </c>
    </row>
    <row r="4" spans="1:1" ht="13.25" customHeight="1" x14ac:dyDescent="0.25">
      <c r="A4" s="33" t="s">
        <v>186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+PSgTBOVO4qZsGf+KyEn/bOYecYC6r931iqQfBdgtTcfT6VHCfPi11+kfFtJo71r+Q4tKOCp0QtnLUVFMbHwBA==" saltValue="2+IMQcrb4Q9wdFFRgn4nb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3.2</v>
      </c>
      <c r="C2" s="21">
        <f>'Données pop de l''année de ref'!C52</f>
        <v>3.2</v>
      </c>
      <c r="D2" s="21">
        <f>'Données pop de l''année de ref'!C53</f>
        <v>3.2</v>
      </c>
      <c r="E2" s="21">
        <f>'Données pop de l''année de ref'!C54</f>
        <v>3.2</v>
      </c>
      <c r="F2" s="21">
        <f>'Données pop de l''année de ref'!C55</f>
        <v>3.2</v>
      </c>
    </row>
    <row r="3" spans="1:6" ht="15.75" customHeight="1" x14ac:dyDescent="0.25">
      <c r="A3" s="3" t="s">
        <v>209</v>
      </c>
      <c r="B3" s="21">
        <f>frac_mam_1month * 2.6</f>
        <v>3.9589771000000003E-2</v>
      </c>
      <c r="C3" s="21">
        <f>frac_mam_1_5months * 2.6</f>
        <v>3.9589771000000003E-2</v>
      </c>
      <c r="D3" s="21">
        <f>frac_mam_6_11months * 2.6</f>
        <v>1.107064348E-2</v>
      </c>
      <c r="E3" s="21">
        <f>frac_mam_12_23months * 2.6</f>
        <v>4.9481507399999999E-2</v>
      </c>
      <c r="F3" s="21">
        <f>frac_mam_24_59months * 2.6</f>
        <v>4.7725904200000009E-2</v>
      </c>
    </row>
    <row r="4" spans="1:6" ht="15.75" customHeight="1" x14ac:dyDescent="0.25">
      <c r="A4" s="3" t="s">
        <v>208</v>
      </c>
      <c r="B4" s="21">
        <f>frac_sam_1month * 2.6</f>
        <v>4.7193848000000004E-3</v>
      </c>
      <c r="C4" s="21">
        <f>frac_sam_1_5months * 2.6</f>
        <v>4.7193848000000004E-3</v>
      </c>
      <c r="D4" s="21">
        <f>frac_sam_6_11months * 2.6</f>
        <v>0</v>
      </c>
      <c r="E4" s="21">
        <f>frac_sam_12_23months * 2.6</f>
        <v>1.139856432E-2</v>
      </c>
      <c r="F4" s="21">
        <f>frac_sam_24_59months * 2.6</f>
        <v>1.3172276780000001E-3</v>
      </c>
    </row>
  </sheetData>
  <sheetProtection algorithmName="SHA-512" hashValue="Jpqsm675h3UavwsOC8xMbq9eJEhXvhm94AN579NPnseAndvikvS1k3iHrXQuCvfeS9EGohKwVURJKOlJS6rvWw==" saltValue="h9SxdYOj/rC/mAJkcNAw2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0.44</v>
      </c>
      <c r="E10" s="60">
        <f>IF(ISBLANK(comm_deliv), frac_children_health_facility,1)</f>
        <v>0.44</v>
      </c>
      <c r="F10" s="60">
        <f>IF(ISBLANK(comm_deliv), frac_children_health_facility,1)</f>
        <v>0.44</v>
      </c>
      <c r="G10" s="60">
        <f>IF(ISBLANK(comm_deliv), frac_children_health_facility,1)</f>
        <v>0.44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0.442</v>
      </c>
      <c r="I18" s="60">
        <f>frac_PW_health_facility</f>
        <v>0.442</v>
      </c>
      <c r="J18" s="60">
        <f>frac_PW_health_facility</f>
        <v>0.442</v>
      </c>
      <c r="K18" s="60">
        <f>frac_PW_health_facility</f>
        <v>0.442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0.68900000000000006</v>
      </c>
      <c r="M24" s="60">
        <f>famplan_unmet_need</f>
        <v>0.68900000000000006</v>
      </c>
      <c r="N24" s="60">
        <f>famplan_unmet_need</f>
        <v>0.68900000000000006</v>
      </c>
      <c r="O24" s="60">
        <f>famplan_unmet_need</f>
        <v>0.68900000000000006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0.32826704320831274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0.14068587566070545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0.19698419966125474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0.33406288146972701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NyEinBlQ6KPoe3R4JLStOFEHwUlpIwf5vHAwABnmdtkw5VJYbPIGgBnwun6z70x/ZW5DJsImJQekOpqmmSzjMw==" saltValue="mJkceeuubHreALFLjpg5q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WtF4OfpQEDTkKiLyQCnfafEuCUo9dynBVdQfSWddMw1ViIodOUWOdNZ7wYd9kiL/KINnYUQTuJkes5GXwwO3uQ==" saltValue="oMUwy+AuycXJqQF9mBNII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uyTOG/UdLMwa0+o22i9O7pfCX+8MkIuWxBhWyh2FmulSKKAhDR6Hsb8lQ54w43lS7eoU6jjYf1++PR5i4PRrjQ==" saltValue="6DzjkljCXVRTX3wsr2K+O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BUGeqWTFKyToHZSz1IO3z48mlt6GsepFbbk6McScsdTQWdJwg4iOl6Bzo4NwGMNtpvyuLz6o8O6f+GFMQ/Rl2w==" saltValue="O7zUp7ZnX61jXQI10hO4M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TOH2jvwwIjagGhkGxwULzpZZZLNpd29CJiI5Ttdym/BEBuJH+XdjSjR71IY8TC3fkXq8N+uCzZNyg+6fj2FUTA==" saltValue="2RufYTElAIivfD6kRHgfL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TWkV4PYLrkMakALvt0zkx/WG2ZYYQxI5AY5x6NhTLDY9nwpUQCmw/nayVgcDj5bJMU0mibTGpwiF+q2ESC3qcQ==" saltValue="1cdB1KYz+VZfN6//8A4f/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109</v>
      </c>
      <c r="C5" s="8" t="s">
        <v>153</v>
      </c>
      <c r="D5" s="88">
        <f>IFERROR((MIN(1,1.56*'Dist. l''allaitement maternel'!$C$2)/(1-MIN(1,1.56*'Dist. l''allaitement maternel'!$C$2))) /
('Dist. l''allaitement maternel'!$C$2/(1-'Dist. l''allaitement maternel'!$C$2)), 1.56)</f>
        <v>2.7729214351933549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154</v>
      </c>
      <c r="D6" s="88">
        <f>IFERROR((MIN(1,1.56*'Dist. l''allaitement maternel'!$C$2)/(1-MIN(1,1.56*'Dist. l''allaitement maternel'!$C$2))) /
('Dist. l''allaitement maternel'!$C$2/(1-'Dist. l''allaitement maternel'!$C$2)), 1.56)</f>
        <v>2.7729214351933549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96</v>
      </c>
      <c r="C8" s="8" t="s">
        <v>153</v>
      </c>
      <c r="D8" s="88">
        <v>1</v>
      </c>
      <c r="E8" s="88">
        <f>IFERROR((MIN(1,1.56*'Dist. l''allaitement maternel'!$D$2)/(1-MIN(1,1.56*'Dist. l''allaitement maternel'!$D$2))) /
('Dist. l''allaitement maternel'!$D$2/(1-'Dist. l''allaitement maternel'!$D$2)), 1.56)</f>
        <v>1.8622731506312067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154</v>
      </c>
      <c r="D9" s="88">
        <v>1</v>
      </c>
      <c r="E9" s="88">
        <f>IFERROR((MIN(1,1.56*'Dist. l''allaitement maternel'!$D$2)/(1-MIN(1,1.56*'Dist. l''allaitement maternel'!$D$2))) /
('Dist. l''allaitement maternel'!$D$2/(1-'Dist. l''allaitement maternel'!$D$2)), 1.56)</f>
        <v>1.8622731506312067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154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IFERROR((MIN(1,1.37*'Dist. l''allaitement maternel'!$C$2)/(1-MIN(1,1.37*'Dist. l''allaitement maternel'!$C$2))) /
('Dist. l''allaitement maternel'!$C$2/(1-'Dist. l''allaitement maternel'!$C$2)), 1.37)</f>
        <v>1.9268833391646965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IFERROR((MIN(1,1.37*'Dist. l''allaitement maternel'!$C$2)/(1-MIN(1,1.37*'Dist. l''allaitement maternel'!$C$2))) /
('Dist. l''allaitement maternel'!$C$2/(1-'Dist. l''allaitement maternel'!$C$2)), 1.37)</f>
        <v>1.9268833391646965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IFERROR((MIN(1,1.37*'Dist. l''allaitement maternel'!$D$2)/(1-MIN(1,1.37*'Dist. l''allaitement maternel'!$D$2))) /
('Dist. l''allaitement maternel'!$D$2/(1-'Dist. l''allaitement maternel'!$D$2)), 1.37)</f>
        <v>1.5345725138763562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IFERROR((MIN(1,1.37*'Dist. l''allaitement maternel'!$D$2)/(1-MIN(1,1.37*'Dist. l''allaitement maternel'!$D$2))) /
('Dist. l''allaitement maternel'!$D$2/(1-'Dist. l''allaitement maternel'!$D$2)), 1.37)</f>
        <v>1.5345725138763562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IFERROR((MIN(1,1.77*'Dist. l''allaitement maternel'!$C$2)/(1-MIN(1,1.77*'Dist. l''allaitement maternel'!$C$2))) /
('Dist. l''allaitement maternel'!$C$2/(1-'Dist. l''allaitement maternel'!$C$2)), 1.77)</f>
        <v>4.4410723658367548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IFERROR((MIN(1,1.77*'Dist. l''allaitement maternel'!$C$2)/(1-MIN(1,1.77*'Dist. l''allaitement maternel'!$C$2))) /
('Dist. l''allaitement maternel'!$C$2/(1-'Dist. l''allaitement maternel'!$C$2)), 1.77)</f>
        <v>4.4410723658367548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IFERROR((MIN(1,1.77*'Dist. l''allaitement maternel'!$D$2)/(1-MIN(1,1.77*'Dist. l''allaitement maternel'!$D$2))) /
('Dist. l''allaitement maternel'!$D$2/(1-'Dist. l''allaitement maternel'!$D$2)), 1.77)</f>
        <v>2.2785255706783687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IFERROR((MIN(1,1.77*'Dist. l''allaitement maternel'!$D$2)/(1-MIN(1,1.77*'Dist. l''allaitement maternel'!$D$2))) /
('Dist. l''allaitement maternel'!$D$2/(1-'Dist. l''allaitement maternel'!$D$2)), 1.77)</f>
        <v>2.2785255706783687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ffWuRfua84bivzNbJsycrABj2v+XRyP6AX883FPF9c8xcchTzWV2VLFW96RqAIUCAy9LXMbFCaaWDy/SbHTh6w==" saltValue="JmDzs3ViSwLEsviLBCF1L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Hef910JRf/woV+BAe7rdL5Hb+QxtJzAsyVGugTKsrLa+uR5xR+f7pjelOReYMl8wy2GfMi51IQUOXL3D+UYXEQ==" saltValue="lWJipLC7FdLLZJ8/SW2cC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x++FOoDIBTRtemO+yGMp6anAcQPZcsgvS9t3+cvHMvJUHn+kDymQEDzfOBcQ1dcSePaXxrdfVwZLT75KCUhLPA==" saltValue="zih70xMnGQlet6Wb0DIzW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
/ (SUM('Dist. de l''état nutritionnel'!$E$4:$E$5)/(1-SUM('Dist. de l''état nutritionnel'!$E$4:$E$5))))</f>
        <v>0.63967580300237892</v>
      </c>
      <c r="F6" s="90">
        <f>IF(ISBLANK('Dist. de l''état nutritionnel'!$F$4),0.64, (0.64*SUM('Dist. de l''état nutritionnel'!$F$4:$F$5)/(1-0.64*SUM('Dist. de l''état nutritionnel'!$F$4:$F$5)))/ (SUM('Dist. de l''état nutritionnel'!$F$4:$F$5)/(1-SUM('Dist. de l''état nutritionnel'!$F$4:$F$5))))</f>
        <v>0.63012988415471305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F7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0.8754292028444195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F8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0.8754292028444195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nutritionnel'!E$4),0.44, (0.44*SUM('Dist. de l''état nutritionnel'!E$4:E$5)/(1-0.44*SUM('Dist. de l''état nutritionnel'!E$4:E$5)))/ (SUM('Dist. de l''état nutritionnel'!E$4:E$5)/(1-SUM('Dist. de l''état nutritionnel'!E$4:E$5))))</f>
        <v>0.43965338686620498</v>
      </c>
      <c r="F29" s="90">
        <f>IF(ISBLANK('Dist. de l''état nutritionnel'!F$4),0.44, (0.44*SUM('Dist. de l''état nutritionnel'!F$4:F$5)/(1-0.44*SUM('Dist. de l''état nutritionnel'!F$4:F$5)))/ (SUM('Dist. de l''état nutritionnel'!F$4:F$5)/(1-SUM('Dist. de l''état nutritionnel'!F$4:F$5))))</f>
        <v>0.4295341290256468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0.84982054108070459</v>
      </c>
      <c r="F30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0.8444884387265269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0.84982054108070459</v>
      </c>
      <c r="F31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0.8444884387265269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nutritionnel'!E$4),0.92, (0.92*SUM('Dist. de l''état nutritionnel'!E$4:E$5)/(1-0.92*SUM('Dist. de l''état nutritionnel'!E$4:E$5)))/ (SUM('Dist. de l''état nutritionnel'!E$4:E$5)/(1-SUM('Dist. de l''état nutritionnel'!E$4:E$5))))</f>
        <v>0.91989639625142505</v>
      </c>
      <c r="F52" s="90">
        <f>IF(ISBLANK('Dist. de l''état nutritionnel'!F$4),0.92, (0.92*SUM('Dist. de l''état nutritionnel'!F$4:F$5)/(1-0.92*SUM('Dist. de l''état nutritionnel'!F$4:F$5)))/ (SUM('Dist. de l''état nutritionnel'!F$4:F$5)/(1-SUM('Dist. de l''état nutritionnel'!F$4:F$5))))</f>
        <v>0.91680876771146402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0.90988471429934803</v>
      </c>
      <c r="F53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0.90645042596089309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0.90988471429934803</v>
      </c>
      <c r="F54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0.90645042596089309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jJUCaLCZizHY4n6W5h/Ww3enq5htM3u9TjaGQZDhHOXwMGcbQ6oG5pnMh1Fm8+M+n+7P5rILkv78ewvkZ+1ebA==" saltValue="7ssBWDngJcQ2cng6LdKfx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x/lySe1+R4VIdHwpaSgnRkWcJ3HZ7hhhAxGMFWt9gObyQ8E/jCY+RTuJkoqfpZ6eUq9jxv3r3VcsBVPBZ8Ye5Q==" saltValue="Ppst/I/pKqlcYU4jRO6L7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0.11156552306897574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0.37431425521754819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0.37431425521754819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0.65943368687360127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0.65943368687360127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0.65943368687360127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0.65943368687360127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0.68710888610763443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0.68710888610763443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0.68710888610763443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0.68710888610763443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0.16341760762226323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0.48202779892287062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0.48202779892287062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0.75074775672981064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0.75074775672981064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0.75074775672981064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0.75074775672981064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0.77355072463768115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0.77355072463768115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0.77355072463768115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0.77355072463768115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177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179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180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181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182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185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186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189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190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205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174</v>
      </c>
      <c r="C42" s="90">
        <f t="shared" ref="C42:D44" si="9">IF(C19=1,1,C19*0.9)</f>
        <v>1</v>
      </c>
      <c r="D42" s="90">
        <f t="shared" si="9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5.4219607759929872E-2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0.21452345804823927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0.21452345804823927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0.46920218781011286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0.46920218781011286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0.46920218781011286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0.46920218781011286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0.50062964088757644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0.50062964088757644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0.50062964088757644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0.50062964088757644</v>
      </c>
    </row>
    <row r="43" spans="1:15" x14ac:dyDescent="0.25">
      <c r="B43" s="5" t="s">
        <v>175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183</v>
      </c>
      <c r="C44" s="90">
        <f t="shared" si="9"/>
        <v>1</v>
      </c>
      <c r="D44" s="90">
        <f t="shared" si="9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0.10229207358998513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0.35185020831533975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0.35185020831533975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0.63728690605730876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0.63728690605730876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0.63728690605730876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0.63728690605730876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0.66584985520160378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0.66584985520160378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0.66584985520160378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0.66584985520160378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176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177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178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179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180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181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182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185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186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189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190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205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174</v>
      </c>
      <c r="C65" s="90">
        <f t="shared" ref="C65:D67" si="20">IF(C19=1,1,C19*1.05)</f>
        <v>1</v>
      </c>
      <c r="D65" s="90">
        <f t="shared" si="2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0.61225198399776215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0.88266208883925845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0.88266208883925845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0.96054759932141875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0.96054759932141875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0.96054759932141875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0.96054759932141875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0.96505044385936301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0.96505044385936301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0.96505044385936301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0.96505044385936301</v>
      </c>
    </row>
    <row r="66" spans="2:15" x14ac:dyDescent="0.25">
      <c r="B66" s="5" t="s">
        <v>175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183</v>
      </c>
      <c r="C67" s="90">
        <f t="shared" si="20"/>
        <v>1</v>
      </c>
      <c r="D67" s="90">
        <f t="shared" si="2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0.359631613381305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0.72792750106494808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0.72792750106494808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0.89647497282468047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0.89647497282468047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0.89647497282468047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0.89647497282468047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0.90758709915904257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0.90758709915904257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0.90758709915904257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0.90758709915904257</v>
      </c>
    </row>
  </sheetData>
  <sheetProtection algorithmName="SHA-512" hashValue="2SFFFt7daTYYwQc+WjCR7IPEHTQGzI5yMI8fs8cNz3Ezd5S6PNhYcFP3e3JERivKrCMAPQG+PPqHWYJqce6x7g==" saltValue="D2kYddQe857gfAfYkk8Z0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ht="13.25" customHeight="1" x14ac:dyDescent="0.25">
      <c r="B3" s="11" t="s">
        <v>161</v>
      </c>
      <c r="C3" s="90">
        <v>1</v>
      </c>
      <c r="D3" s="90">
        <f>IF(ISBLANK('Dist. de l''état nutritionnel'!D$11),(1/1.33),((1/1.33)*'Dist. de l''état nutritionnel'!D$11/(1-(1/1.33)*'Dist. de l''état nutritionnel'!D$11))
/ ('Dist. de l''état nutritionnel'!D$11/(1-'Dist. de l''état nutritionnel'!D$11)))</f>
        <v>0.75154060859594851</v>
      </c>
      <c r="E3" s="90" t="e">
        <f>IF(ISBLANK('Dist. de l''état nutritionnel'!E$11),(1/1.33),((1/1.33)*'Dist. de l''état nutritionnel'!E$11/(1-(1/1.33)*'Dist. de l''état nutritionnel'!E$11))
/ ('Dist. de l''état nutritionnel'!E$11/(1-'Dist. de l''état nutritionnel'!E$11)))</f>
        <v>#DIV/0!</v>
      </c>
      <c r="F3" s="90">
        <f>IF(ISBLANK('Dist. de l''état nutritionnel'!F$11),(1/1.33),((1/1.33)*'Dist. de l''état nutritionnel'!F$11/(1-(1/1.33)*'Dist. de l''état nutritionnel'!F$11))
/ ('Dist. de l''état nutritionnel'!F$11/(1-'Dist. de l''état nutritionnel'!F$11)))</f>
        <v>0.75105911837737049</v>
      </c>
      <c r="G3" s="90">
        <f>IF(ISBLANK('Dist. de l''état nutritionnel'!G$11),(1/1.33),((1/1.33)*'Dist. de l''état nutritionnel'!G$11/(1-(1/1.33)*'Dist. de l''état nutritionnel'!G$11))
/ ('Dist. de l''état nutritionnel'!G$11/(1-'Dist. de l''état nutritionnel'!G$11)))</f>
        <v>0.75178514879349345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165</v>
      </c>
      <c r="C5" s="90">
        <v>1</v>
      </c>
      <c r="D5" s="90">
        <f>IF(ISBLANK('Dist. de l''état nutritionnel'!D$10),(1/1.33),((1/1.33)*'Dist. de l''état nutritionnel'!D$10/(1-(1/1.33)*'Dist. de l''état nutritionnel'!D$10))
/ ('Dist. de l''état nutritionnel'!D$10/(1-'Dist. de l''état nutritionnel'!D$10)))</f>
        <v>0.74900613369303126</v>
      </c>
      <c r="E5" s="90">
        <f>IF(ISBLANK('Dist. de l''état nutritionnel'!E$10),(1/1.33),((1/1.33)*'Dist. de l''état nutritionnel'!E$10/(1-(1/1.33)*'Dist. de l''état nutritionnel'!E$10))
/ ('Dist. de l''état nutritionnel'!E$10/(1-'Dist. de l''état nutritionnel'!E$10)))</f>
        <v>0.75108280116705628</v>
      </c>
      <c r="F5" s="90">
        <f>IF(ISBLANK('Dist. de l''état nutritionnel'!F$10),(1/1.33),((1/1.33)*'Dist. de l''état nutritionnel'!F$10/(1-(1/1.33)*'Dist. de l''état nutritionnel'!F$10))
/ ('Dist. de l''état nutritionnel'!F$10/(1-'Dist. de l''état nutritionnel'!F$10)))</f>
        <v>0.74827773360691896</v>
      </c>
      <c r="G5" s="90">
        <f>IF(ISBLANK('Dist. de l''état nutritionnel'!G$10),(1/1.33),((1/1.33)*'Dist. de l''état nutritionnel'!G$10/(1-(1/1.33)*'Dist. de l''état nutritionnel'!G$10))
/ ('Dist. de l''état nutritionnel'!G$10/(1-'Dist. de l''état nutritionnel'!G$10)))</f>
        <v>0.74840731979382835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ht="13.25" customHeight="1" x14ac:dyDescent="0.25">
      <c r="B10" s="11" t="s">
        <v>161</v>
      </c>
      <c r="C10" s="90">
        <v>1</v>
      </c>
      <c r="D10" s="90">
        <f>IF(ISBLANK('Dist. de l''état nutritionnel'!D$11),(1/1.54),((1/1.54)*'Dist. de l''état nutritionnel'!D$11/(1-(1/1.54)*'Dist. de l''état nutritionnel'!D$11))
/ ('Dist. de l''état nutritionnel'!D$11/(1-'Dist. de l''état nutritionnel'!D$11)))</f>
        <v>0.64893686262878381</v>
      </c>
      <c r="E10" s="90" t="e">
        <f>IF(ISBLANK('Dist. de l''état nutritionnel'!E$11),(1/1.54),((1/1.54)*'Dist. de l''état nutritionnel'!E$11/(1-(1/1.54)*'Dist. de l''état nutritionnel'!E$11))
/ ('Dist. de l''état nutritionnel'!E$11/(1-'Dist. de l''état nutritionnel'!E$11)))</f>
        <v>#DIV/0!</v>
      </c>
      <c r="F10" s="90">
        <f>IF(ISBLANK('Dist. de l''état nutritionnel'!F$11),(1/1.54),((1/1.54)*'Dist. de l''état nutritionnel'!F$11/(1-(1/1.54)*'Dist. de l''état nutritionnel'!F$11))
/ ('Dist. de l''état nutritionnel'!F$11/(1-'Dist. de l''état nutritionnel'!F$11)))</f>
        <v>0.6483495729242813</v>
      </c>
      <c r="G10" s="90">
        <f>IF(ISBLANK('Dist. de l''état nutritionnel'!G$11),(1/1.54),((1/1.54)*'Dist. de l''état nutritionnel'!G$11/(1-(1/1.54)*'Dist. de l''état nutritionnel'!G$11))
/ ('Dist. de l''état nutritionnel'!G$11/(1-'Dist. de l''état nutritionnel'!G$11)))</f>
        <v>0.64923525548702821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165</v>
      </c>
      <c r="C12" s="90">
        <v>1</v>
      </c>
      <c r="D12" s="90">
        <f>IF(ISBLANK('Dist. de l''état nutritionnel'!D$10),(1/1.54),((1/1.54)*'Dist. de l''état nutritionnel'!D$10/(1-(1/1.54)*'Dist. de l''état nutritionnel'!D$10))
/ ('Dist. de l''état nutritionnel'!D$10/(1-'Dist. de l''état nutritionnel'!D$10)))</f>
        <v>0.64584896140928605</v>
      </c>
      <c r="E12" s="90">
        <f>IF(ISBLANK('Dist. de l''état nutritionnel'!E$10),(1/1.54),((1/1.54)*'Dist. de l''état nutritionnel'!E$10/(1-(1/1.54)*'Dist. de l''état nutritionnel'!E$10))
/ ('Dist. de l''état nutritionnel'!E$10/(1-'Dist. de l''état nutritionnel'!E$10)))</f>
        <v>0.6483784523491688</v>
      </c>
      <c r="F12" s="90">
        <f>IF(ISBLANK('Dist. de l''état nutritionnel'!F$10),(1/1.54),((1/1.54)*'Dist. de l''état nutritionnel'!F$10/(1-(1/1.54)*'Dist. de l''état nutritionnel'!F$10))
/ ('Dist. de l''état nutritionnel'!F$10/(1-'Dist. de l''état nutritionnel'!F$10)))</f>
        <v>0.6449630966128308</v>
      </c>
      <c r="G12" s="90">
        <f>IF(ISBLANK('Dist. de l''état nutritionnel'!G$10),(1/1.54),((1/1.54)*'Dist. de l''état nutritionnel'!G$10/(1-(1/1.54)*'Dist. de l''état nutritionnel'!G$10))
/ ('Dist. de l''état nutritionnel'!G$10/(1-'Dist. de l''état nutritionnel'!G$10)))</f>
        <v>0.64512064482830112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ht="13.25" customHeight="1" x14ac:dyDescent="0.25">
      <c r="B17" s="11" t="s">
        <v>161</v>
      </c>
      <c r="C17" s="90">
        <v>1</v>
      </c>
      <c r="D17" s="90">
        <f>IF(ISBLANK('Dist. de l''état nutritionnel'!D$11),(1/1.16),((1/1.16)*'Dist. de l''état nutritionnel'!D$11/(1-(1/1.16)*'Dist. de l''état nutritionnel'!D$11))
/ ('Dist. de l''état nutritionnel'!D$11/(1-'Dist. de l''état nutritionnel'!D$11)))</f>
        <v>0.86185279515294511</v>
      </c>
      <c r="E17" s="90" t="e">
        <f>IF(ISBLANK('Dist. de l''état nutritionnel'!E$11),(1/1.16),((1/1.16)*'Dist. de l''état nutritionnel'!E$11/(1-(1/1.16)*'Dist. de l''état nutritionnel'!E$11))
/ ('Dist. de l''état nutritionnel'!E$11/(1-'Dist. de l''état nutritionnel'!E$11)))</f>
        <v>#DIV/0!</v>
      </c>
      <c r="F17" s="90">
        <f>IF(ISBLANK('Dist. de l''état nutritionnel'!F$11),(1/1.16),((1/1.16)*'Dist. de l''état nutritionnel'!F$11/(1-(1/1.16)*'Dist. de l''état nutritionnel'!F$11))
/ ('Dist. de l''état nutritionnel'!F$11/(1-'Dist. de l''état nutritionnel'!F$11)))</f>
        <v>0.86154569619119858</v>
      </c>
      <c r="G17" s="90">
        <f>IF(ISBLANK('Dist. de l''état nutritionnel'!G$11),(1/1.16),((1/1.16)*'Dist. de l''état nutritionnel'!G$11/(1-(1/1.16)*'Dist. de l''état nutritionnel'!G$11))
/ ('Dist. de l''état nutritionnel'!G$11/(1-'Dist. de l''état nutritionnel'!G$11)))</f>
        <v>0.86200869828848237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165</v>
      </c>
      <c r="C19" s="90">
        <v>1</v>
      </c>
      <c r="D19" s="90">
        <f>IF(ISBLANK('Dist. de l''état nutritionnel'!D$10),(1/1.16),((1/1.16)*'Dist. de l''état nutritionnel'!D$10/(1-(1/1.16)*'Dist. de l''état nutritionnel'!D$10))
/ ('Dist. de l''état nutritionnel'!D$10/(1-'Dist. de l''état nutritionnel'!D$10)))</f>
        <v>0.86023431987069687</v>
      </c>
      <c r="E19" s="90">
        <f>IF(ISBLANK('Dist. de l''état nutritionnel'!E$10),(1/1.16),((1/1.16)*'Dist. de l''état nutritionnel'!E$10/(1-(1/1.16)*'Dist. de l''état nutritionnel'!E$10))
/ ('Dist. de l''état nutritionnel'!E$10/(1-'Dist. de l''état nutritionnel'!E$10)))</f>
        <v>0.86156080538220436</v>
      </c>
      <c r="F19" s="90">
        <f>IF(ISBLANK('Dist. de l''état nutritionnel'!F$10),(1/1.16),((1/1.16)*'Dist. de l''état nutritionnel'!F$10/(1-(1/1.16)*'Dist. de l''état nutritionnel'!F$10))
/ ('Dist. de l''état nutritionnel'!F$10/(1-'Dist. de l''état nutritionnel'!F$10)))</f>
        <v>0.85976827684111368</v>
      </c>
      <c r="G19" s="90">
        <f>IF(ISBLANK('Dist. de l''état nutritionnel'!G$10),(1/1.16),((1/1.16)*'Dist. de l''état nutritionnel'!G$10/(1-(1/1.16)*'Dist. de l''état nutritionnel'!G$10))
/ ('Dist. de l''état nutritionnel'!G$10/(1-'Dist. de l''état nutritionnel'!G$10)))</f>
        <v>0.85985121771987816</v>
      </c>
    </row>
  </sheetData>
  <sheetProtection algorithmName="SHA-512" hashValue="MXuleGBnvtZj5EIAJSyrZ/nCeBuqgOoOKhqzPDqX5RU3CuCCcOmUIdNk5A+Fk9AQ6OCiHTARJlAegvbuaWngFw==" saltValue="kaWl+SXeEhEB5sdC3Psh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ht="13.25" customHeight="1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335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336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336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336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336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336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335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336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88</v>
      </c>
      <c r="C45" s="5" t="s">
        <v>334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191</v>
      </c>
      <c r="B48" s="5" t="s">
        <v>87</v>
      </c>
      <c r="C48" s="5" t="s">
        <v>334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335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184</v>
      </c>
      <c r="B52" s="5" t="s">
        <v>82</v>
      </c>
      <c r="C52" s="5" t="s">
        <v>334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335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ht="13.25" customHeight="1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335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336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192</v>
      </c>
      <c r="B60" s="5" t="s">
        <v>208</v>
      </c>
      <c r="C60" s="5" t="s">
        <v>334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336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209</v>
      </c>
      <c r="C62" s="5" t="s">
        <v>334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336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185</v>
      </c>
      <c r="B64" s="5" t="s">
        <v>208</v>
      </c>
      <c r="C64" s="5" t="s">
        <v>334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336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209</v>
      </c>
      <c r="C66" s="5" t="s">
        <v>334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336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205</v>
      </c>
      <c r="B68" s="5" t="s">
        <v>208</v>
      </c>
      <c r="C68" s="5" t="s">
        <v>334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336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335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335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335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335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336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335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336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335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336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335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336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335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336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335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336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88</v>
      </c>
      <c r="C100" s="5" t="s">
        <v>334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335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336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335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335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335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335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336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336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209</v>
      </c>
      <c r="C117" s="5" t="s">
        <v>334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336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336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209</v>
      </c>
      <c r="C121" s="5" t="s">
        <v>334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336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336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336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336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209</v>
      </c>
      <c r="C129" s="5" t="s">
        <v>334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336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335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335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335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335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336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335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336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335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336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335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336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335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336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335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336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88</v>
      </c>
      <c r="C155" s="5" t="s">
        <v>334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335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336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335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335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335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M/5YFFYg30Wj+v0BQRdEcma0JTHo03gaBhtelSCtEyDVmD2/JHeejAvJWpk+MRUGxiC9wyj8As6UofLuG8k/oQ==" saltValue="ZJ+2nsoyGw0iS1+19AJEF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ht="13.25" customHeight="1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335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335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ht="13.25" customHeight="1" x14ac:dyDescent="0.25">
      <c r="A11" s="3" t="s">
        <v>169</v>
      </c>
      <c r="B11" s="8" t="s">
        <v>104</v>
      </c>
      <c r="C11" s="3" t="s">
        <v>334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335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188</v>
      </c>
      <c r="B13" s="8" t="s">
        <v>104</v>
      </c>
      <c r="C13" s="3" t="s">
        <v>334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335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ht="13.25" customHeight="1" x14ac:dyDescent="0.25">
      <c r="A20" s="3" t="s">
        <v>169</v>
      </c>
      <c r="B20" s="8" t="s">
        <v>104</v>
      </c>
      <c r="C20" s="3" t="s">
        <v>334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335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188</v>
      </c>
      <c r="B22" s="8" t="s">
        <v>104</v>
      </c>
      <c r="C22" s="3" t="s">
        <v>334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335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187</v>
      </c>
      <c r="B24" s="8" t="s">
        <v>104</v>
      </c>
      <c r="C24" s="3" t="s">
        <v>334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335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itd8/a6Ngp03qx4358gFATrgLxWBqg8DnTbAMVooiV87hLiwbGZEBqJGhKAJRqAdfnxW3RHgPf+j0AKAutJAgA==" saltValue="F5ztpxSYZmofAx74NXto3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2024-03-18T01:26:45Z</dcterms:modified>
</cp:coreProperties>
</file>