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D646029-FED8-4B19-B7BD-9511AFE10C4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9" i="2" s="1"/>
  <c r="C33" i="1"/>
  <c r="C20" i="1"/>
  <c r="A27" i="2" l="1"/>
  <c r="I39" i="2"/>
  <c r="A35" i="2"/>
  <c r="A19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5" i="2"/>
  <c r="A33" i="2"/>
  <c r="A1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<sst xmlns="http://schemas.openxmlformats.org/spreadsheetml/2006/main" count="2092" uniqueCount="337">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</sst>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4392126.8125</v>
      </c>
    </row>
    <row r="8" spans="1:3" ht="15" customHeight="1" x14ac:dyDescent="0.25">
      <c r="B8" s="5" t="s">
        <v>19</v>
      </c>
      <c r="C8" s="44">
        <v>0.23799999999999999</v>
      </c>
    </row>
    <row r="9" spans="1:3" ht="15" customHeight="1" x14ac:dyDescent="0.25">
      <c r="B9" s="5" t="s">
        <v>20</v>
      </c>
      <c r="C9" s="45">
        <v>0.74</v>
      </c>
    </row>
    <row r="10" spans="1:3" ht="15" customHeight="1" x14ac:dyDescent="0.25">
      <c r="B10" s="5" t="s">
        <v>21</v>
      </c>
      <c r="C10" s="45">
        <v>0.44305671691894499</v>
      </c>
    </row>
    <row r="11" spans="1:3" ht="15" customHeight="1" x14ac:dyDescent="0.25">
      <c r="B11" s="5" t="s">
        <v>22</v>
      </c>
      <c r="C11" s="45">
        <v>0.58799999999999997</v>
      </c>
    </row>
    <row r="12" spans="1:3" ht="15" customHeight="1" x14ac:dyDescent="0.25">
      <c r="B12" s="5" t="s">
        <v>23</v>
      </c>
      <c r="C12" s="45">
        <v>0.28100000000000003</v>
      </c>
    </row>
    <row r="13" spans="1:3" ht="15" customHeight="1" x14ac:dyDescent="0.25">
      <c r="B13" s="5" t="s">
        <v>24</v>
      </c>
      <c r="C13" s="45">
        <v>0.59899999999999998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0.11650000000000001</v>
      </c>
    </row>
    <row r="24" spans="1:3" ht="15" customHeight="1" x14ac:dyDescent="0.25">
      <c r="B24" s="15" t="s">
        <v>33</v>
      </c>
      <c r="C24" s="45">
        <v>0.45839999999999997</v>
      </c>
    </row>
    <row r="25" spans="1:3" ht="15" customHeight="1" x14ac:dyDescent="0.25">
      <c r="B25" s="15" t="s">
        <v>34</v>
      </c>
      <c r="C25" s="45">
        <v>0.35239999999999999</v>
      </c>
    </row>
    <row r="26" spans="1:3" ht="15" customHeight="1" x14ac:dyDescent="0.25">
      <c r="B26" s="15" t="s">
        <v>35</v>
      </c>
      <c r="C26" s="45">
        <v>7.2700000000000001E-2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0.22889117379313301</v>
      </c>
    </row>
    <row r="30" spans="1:3" ht="14.25" customHeight="1" x14ac:dyDescent="0.25">
      <c r="B30" s="25" t="s">
        <v>38</v>
      </c>
      <c r="C30" s="99">
        <v>6.3717965928088496E-2</v>
      </c>
    </row>
    <row r="31" spans="1:3" ht="14.25" customHeight="1" x14ac:dyDescent="0.25">
      <c r="B31" s="25" t="s">
        <v>39</v>
      </c>
      <c r="C31" s="99">
        <v>0.10059118879698201</v>
      </c>
    </row>
    <row r="32" spans="1:3" ht="14.25" customHeight="1" x14ac:dyDescent="0.25">
      <c r="B32" s="25" t="s">
        <v>40</v>
      </c>
      <c r="C32" s="99">
        <v>0.60679967148179603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26.0777570585307</v>
      </c>
    </row>
    <row r="38" spans="1:5" ht="15" customHeight="1" x14ac:dyDescent="0.25">
      <c r="B38" s="11" t="s">
        <v>45</v>
      </c>
      <c r="C38" s="43">
        <v>50.1732769530837</v>
      </c>
      <c r="D38" s="12"/>
      <c r="E38" s="13"/>
    </row>
    <row r="39" spans="1:5" ht="15" customHeight="1" x14ac:dyDescent="0.25">
      <c r="B39" s="11" t="s">
        <v>46</v>
      </c>
      <c r="C39" s="43">
        <v>74.800281353572601</v>
      </c>
      <c r="D39" s="12"/>
      <c r="E39" s="12"/>
    </row>
    <row r="40" spans="1:5" ht="15" customHeight="1" x14ac:dyDescent="0.25">
      <c r="B40" s="11" t="s">
        <v>47</v>
      </c>
      <c r="C40" s="100">
        <v>5.29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19.388346810000002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2.8625E-3</v>
      </c>
      <c r="D45" s="12"/>
    </row>
    <row r="46" spans="1:5" ht="15.75" customHeight="1" x14ac:dyDescent="0.25">
      <c r="B46" s="11" t="s">
        <v>52</v>
      </c>
      <c r="C46" s="45">
        <v>8.5599700000000001E-2</v>
      </c>
      <c r="D46" s="12"/>
    </row>
    <row r="47" spans="1:5" ht="15.75" customHeight="1" x14ac:dyDescent="0.25">
      <c r="B47" s="11" t="s">
        <v>53</v>
      </c>
      <c r="C47" s="45">
        <v>0.1424473</v>
      </c>
      <c r="D47" s="12"/>
      <c r="E47" s="13"/>
    </row>
    <row r="48" spans="1:5" ht="15" customHeight="1" x14ac:dyDescent="0.25">
      <c r="B48" s="11" t="s">
        <v>54</v>
      </c>
      <c r="C48" s="46">
        <v>0.7690904999999999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0.45496999999999999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0.11961432</v>
      </c>
    </row>
    <row r="63" spans="1:4" ht="15.75" customHeight="1" x14ac:dyDescent="0.3">
      <c r="A63" s="4"/>
    </row>
  </sheetData>
  <sheetProtection algorithmName="SHA-512" hashValue="0ukIDswgamU/ePUcPB1aLXrHL4gTkDAZy76fxqf4gWzlpRB3+vCwV1m6YjEErAtGQZxi3Xf8bTkQKap34ynqjw==" saltValue="7W88mN8g+mgGTpLT9F+p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0.40057632457080111</v>
      </c>
      <c r="C2" s="98">
        <v>0.95</v>
      </c>
      <c r="D2" s="56">
        <v>40.364147140219387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39.484184482679296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137.4514172418211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0.29705202383888901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12.61648392647521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12.61648392647521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12.61648392647521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12.61648392647521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12.61648392647521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12.61648392647521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0.57214308826811999</v>
      </c>
      <c r="C16" s="98">
        <v>0.95</v>
      </c>
      <c r="D16" s="56">
        <v>0.3232422749080891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3.252104381193762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3.252104381193762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0.65054450000000008</v>
      </c>
      <c r="C21" s="98">
        <v>0.95</v>
      </c>
      <c r="D21" s="56">
        <v>2.861030426392877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21.56455166502997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3.4732148650000003E-2</v>
      </c>
      <c r="C23" s="98">
        <v>0.95</v>
      </c>
      <c r="D23" s="56">
        <v>4.0320279639007426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0.52870136371005794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0.415598972633068</v>
      </c>
      <c r="C27" s="98">
        <v>0.95</v>
      </c>
      <c r="D27" s="56">
        <v>18.17825495848718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0.17947630000000001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73.329717310870137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0.1133</v>
      </c>
      <c r="C31" s="98">
        <v>0.95</v>
      </c>
      <c r="D31" s="56">
        <v>0.86324334465165042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0.36904480000000001</v>
      </c>
      <c r="C32" s="98">
        <v>0.95</v>
      </c>
      <c r="D32" s="56">
        <v>0.65336917399036021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0.39075550156474997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0.2055437</v>
      </c>
      <c r="C38" s="98">
        <v>0.95</v>
      </c>
      <c r="D38" s="56">
        <v>5.3958083837356767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0.19769629999999999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AZ3ICwqIA0/PMf1zur2YaqytFBqnFxbWoDpiX6K15H8dUaE0WHti9Q/sLukzGH/Z1TxmKfaLpu1Cub0I9hMvQ==" saltValue="6tVvt95f8Y0Vy5T0C1/H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USlwvVSq41C4Px4X5YyRaWM+R/kxTdUnbq8VkavExteP8GBSTNLaRP8WcIDCMhANcvUsrMC2nNoULX2fNz3xQ==" saltValue="0PQpF/7MrJwSCZo1HoMJ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EICI+g1uabVQGeonKRYrOjuf39ZDCVFAL8/TjTBHanZ9+EQkB33IJR5VsMaqTmQXq8iEeWsG5QbheXPJ9aAEg==" saltValue="foOyGj3lG5uS5KwR9AVv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9.1795527200000004E-2</v>
      </c>
      <c r="C3" s="21">
        <f>frac_mam_1_5months * 2.6</f>
        <v>9.1795527200000004E-2</v>
      </c>
      <c r="D3" s="21">
        <f>frac_mam_6_11months * 2.6</f>
        <v>0.11720249320000001</v>
      </c>
      <c r="E3" s="21">
        <f>frac_mam_12_23months * 2.6</f>
        <v>9.2268553000000003E-2</v>
      </c>
      <c r="F3" s="21">
        <f>frac_mam_24_59months * 2.6</f>
        <v>5.8428825000000004E-2</v>
      </c>
    </row>
    <row r="4" spans="1:6" ht="15.75" customHeight="1" x14ac:dyDescent="0.25">
      <c r="A4" s="3" t="s">
        <v>208</v>
      </c>
      <c r="B4" s="21">
        <f>frac_sam_1month * 2.6</f>
        <v>7.2465289000000002E-2</v>
      </c>
      <c r="C4" s="21">
        <f>frac_sam_1_5months * 2.6</f>
        <v>7.2465289000000002E-2</v>
      </c>
      <c r="D4" s="21">
        <f>frac_sam_6_11months * 2.6</f>
        <v>6.4119598400000005E-2</v>
      </c>
      <c r="E4" s="21">
        <f>frac_sam_12_23months * 2.6</f>
        <v>4.2621805200000001E-2</v>
      </c>
      <c r="F4" s="21">
        <f>frac_sam_24_59months * 2.6</f>
        <v>2.9411644599999998E-2</v>
      </c>
    </row>
  </sheetData>
  <sheetProtection algorithmName="SHA-512" hashValue="rz2TFOByqCQmwyhFcm1KvmuNlueOWmNLdVF24FTID6FGe597I+CyQG/JKfiqQ93XVgnuihJmGvQuhCAXfflAkA==" saltValue="R//PxmvcTCV6L6Ax3jju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0.23799999999999999</v>
      </c>
      <c r="E2" s="60">
        <f>food_insecure</f>
        <v>0.23799999999999999</v>
      </c>
      <c r="F2" s="60">
        <f>food_insecure</f>
        <v>0.23799999999999999</v>
      </c>
      <c r="G2" s="60">
        <f>food_insecure</f>
        <v>0.23799999999999999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0.23799999999999999</v>
      </c>
      <c r="F5" s="60">
        <f>food_insecure</f>
        <v>0.23799999999999999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0.23799999999999999</v>
      </c>
      <c r="F8" s="60">
        <f>food_insecure</f>
        <v>0.23799999999999999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0.23799999999999999</v>
      </c>
      <c r="F9" s="60">
        <f>food_insecure</f>
        <v>0.23799999999999999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0.28100000000000003</v>
      </c>
      <c r="E10" s="60">
        <f>IF(ISBLANK(comm_deliv), frac_children_health_facility,1)</f>
        <v>0.28100000000000003</v>
      </c>
      <c r="F10" s="60">
        <f>IF(ISBLANK(comm_deliv), frac_children_health_facility,1)</f>
        <v>0.28100000000000003</v>
      </c>
      <c r="G10" s="60">
        <f>IF(ISBLANK(comm_deliv), frac_children_health_facility,1)</f>
        <v>0.28100000000000003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0.23799999999999999</v>
      </c>
      <c r="I15" s="60">
        <f>food_insecure</f>
        <v>0.23799999999999999</v>
      </c>
      <c r="J15" s="60">
        <f>food_insecure</f>
        <v>0.23799999999999999</v>
      </c>
      <c r="K15" s="60">
        <f>food_insecure</f>
        <v>0.23799999999999999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0.58799999999999997</v>
      </c>
      <c r="I18" s="60">
        <f>frac_PW_health_facility</f>
        <v>0.58799999999999997</v>
      </c>
      <c r="J18" s="60">
        <f>frac_PW_health_facility</f>
        <v>0.58799999999999997</v>
      </c>
      <c r="K18" s="60">
        <f>frac_PW_health_facility</f>
        <v>0.58799999999999997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0.74</v>
      </c>
      <c r="I19" s="60">
        <f>frac_malaria_risk</f>
        <v>0.74</v>
      </c>
      <c r="J19" s="60">
        <f>frac_malaria_risk</f>
        <v>0.74</v>
      </c>
      <c r="K19" s="60">
        <f>frac_malaria_risk</f>
        <v>0.74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0.59899999999999998</v>
      </c>
      <c r="M24" s="60">
        <f>famplan_unmet_need</f>
        <v>0.59899999999999998</v>
      </c>
      <c r="N24" s="60">
        <f>famplan_unmet_need</f>
        <v>0.59899999999999998</v>
      </c>
      <c r="O24" s="60">
        <f>famplan_unmet_need</f>
        <v>0.59899999999999998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0.30073823399810806</v>
      </c>
      <c r="M25" s="60">
        <f>(1-food_insecure)*(0.49)+food_insecure*(0.7)</f>
        <v>0.5399799999999999</v>
      </c>
      <c r="N25" s="60">
        <f>(1-food_insecure)*(0.49)+food_insecure*(0.7)</f>
        <v>0.5399799999999999</v>
      </c>
      <c r="O25" s="60">
        <f>(1-food_insecure)*(0.49)+food_insecure*(0.7)</f>
        <v>0.5399799999999999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0.12888781457061774</v>
      </c>
      <c r="M26" s="60">
        <f>(1-food_insecure)*(0.21)+food_insecure*(0.3)</f>
        <v>0.23141999999999999</v>
      </c>
      <c r="N26" s="60">
        <f>(1-food_insecure)*(0.21)+food_insecure*(0.3)</f>
        <v>0.23141999999999999</v>
      </c>
      <c r="O26" s="60">
        <f>(1-food_insecure)*(0.21)+food_insecure*(0.3)</f>
        <v>0.23141999999999999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0.12731723451232918</v>
      </c>
      <c r="M27" s="60">
        <f>(1-food_insecure)*(0.3)</f>
        <v>0.2286</v>
      </c>
      <c r="N27" s="60">
        <f>(1-food_insecure)*(0.3)</f>
        <v>0.2286</v>
      </c>
      <c r="O27" s="60">
        <f>(1-food_insecure)*(0.3)</f>
        <v>0.2286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0.44305671691894499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0.74</v>
      </c>
      <c r="D34" s="60">
        <f t="shared" si="3"/>
        <v>0.74</v>
      </c>
      <c r="E34" s="60">
        <f t="shared" si="3"/>
        <v>0.74</v>
      </c>
      <c r="F34" s="60">
        <f t="shared" si="3"/>
        <v>0.74</v>
      </c>
      <c r="G34" s="60">
        <f t="shared" si="3"/>
        <v>0.74</v>
      </c>
      <c r="H34" s="60">
        <f t="shared" si="3"/>
        <v>0.74</v>
      </c>
      <c r="I34" s="60">
        <f t="shared" si="3"/>
        <v>0.74</v>
      </c>
      <c r="J34" s="60">
        <f t="shared" si="3"/>
        <v>0.74</v>
      </c>
      <c r="K34" s="60">
        <f t="shared" si="3"/>
        <v>0.74</v>
      </c>
      <c r="L34" s="60">
        <f t="shared" si="3"/>
        <v>0.74</v>
      </c>
      <c r="M34" s="60">
        <f t="shared" si="3"/>
        <v>0.74</v>
      </c>
      <c r="N34" s="60">
        <f t="shared" si="3"/>
        <v>0.74</v>
      </c>
      <c r="O34" s="60">
        <f t="shared" si="3"/>
        <v>0.74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btqPUpbNynBpafLrLzjsa7aHsPL2TecD3wWpcPmcMffrekqdQjTr6j2fPK6tk4le0Qg6Ctxo8bbeHWA/Zn36g==" saltValue="ubfWEfyrMSygVqIFrFV5Z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3jI8HCZyGhMUivjr8Jvt/WBmo3ekkLnAP5D3otKQW+CjJ7FeamXLYbNzVWmYRIMQeRnyODseD1awA9WivGwJEg==" saltValue="X522PvCC/Zgl6EzwhE8T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cs+p5qWk72xhxFha0Kjn+1m/r/axy18sgqtK/16sdq1dvWSt+/nY/owslazWkcNLekbXgzfEQ1uA+m8N8ja9w==" saltValue="4hgQIS3x3HWKG9RiEmBT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zAEqpL+8YASJ38LXqfIpci/BFjpROHRqGvIxynp9gagbOa63/jMczoHDd8icZK0A9eOzpbofw//9eSJKaWE6Q==" saltValue="zz5kHhs8Q6LqbPsR+gYl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2ddVGYxvYBeVPgc2bs6LdCgkKK7/Io9p3hMDVzd3KBdzgsj4xYsODLI5B3Da+ueY822fRertTBLPDYe+OPUXg==" saltValue="AYoY/R0xMj2oljoXto69M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xWD6IjypbuAxoX/tIldKnrneioqJnSOJQmkFfhTYepMW18xZ/8ClZiPzmIOqUr3XCCCJhuGy/2lAa7Ume4A+w==" saltValue="TpOi1uKPFD9v8tkbesx8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900559.20920000004</v>
      </c>
      <c r="C2" s="49">
        <v>1421000</v>
      </c>
      <c r="D2" s="49">
        <v>2262000</v>
      </c>
      <c r="E2" s="49">
        <v>1711000</v>
      </c>
      <c r="F2" s="49">
        <v>1073000</v>
      </c>
      <c r="G2" s="17">
        <f t="shared" ref="G2:G11" si="0">C2+D2+E2+F2</f>
        <v>6467000</v>
      </c>
      <c r="H2" s="17">
        <f t="shared" ref="H2:H11" si="1">(B2 + stillbirth*B2/(1000-stillbirth))/(1-abortion)</f>
        <v>1043596.3456055213</v>
      </c>
      <c r="I2" s="17">
        <f t="shared" ref="I2:I11" si="2">G2-H2</f>
        <v>5423403.6543944785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911441.16800000006</v>
      </c>
      <c r="C3" s="50">
        <v>1464000</v>
      </c>
      <c r="D3" s="50">
        <v>2317000</v>
      </c>
      <c r="E3" s="50">
        <v>1758000</v>
      </c>
      <c r="F3" s="50">
        <v>1120000</v>
      </c>
      <c r="G3" s="17">
        <f t="shared" si="0"/>
        <v>6659000</v>
      </c>
      <c r="H3" s="17">
        <f t="shared" si="1"/>
        <v>1056206.7018382871</v>
      </c>
      <c r="I3" s="17">
        <f t="shared" si="2"/>
        <v>5602793.2981617134</v>
      </c>
    </row>
    <row r="4" spans="1:9" ht="15.75" customHeight="1" x14ac:dyDescent="0.25">
      <c r="A4" s="5">
        <f t="shared" si="3"/>
        <v>2023</v>
      </c>
      <c r="B4" s="49">
        <v>922083.93040000007</v>
      </c>
      <c r="C4" s="50">
        <v>1507000</v>
      </c>
      <c r="D4" s="50">
        <v>2378000</v>
      </c>
      <c r="E4" s="50">
        <v>1805000</v>
      </c>
      <c r="F4" s="50">
        <v>1171000</v>
      </c>
      <c r="G4" s="17">
        <f t="shared" si="0"/>
        <v>6861000</v>
      </c>
      <c r="H4" s="17">
        <f t="shared" si="1"/>
        <v>1068539.8697569787</v>
      </c>
      <c r="I4" s="17">
        <f t="shared" si="2"/>
        <v>5792460.1302430211</v>
      </c>
    </row>
    <row r="5" spans="1:9" ht="15.75" customHeight="1" x14ac:dyDescent="0.25">
      <c r="A5" s="5">
        <f t="shared" si="3"/>
        <v>2024</v>
      </c>
      <c r="B5" s="49">
        <v>932474.68040000007</v>
      </c>
      <c r="C5" s="50">
        <v>1549000</v>
      </c>
      <c r="D5" s="50">
        <v>2445000</v>
      </c>
      <c r="E5" s="50">
        <v>1850000</v>
      </c>
      <c r="F5" s="50">
        <v>1222000</v>
      </c>
      <c r="G5" s="17">
        <f t="shared" si="0"/>
        <v>7066000</v>
      </c>
      <c r="H5" s="17">
        <f t="shared" si="1"/>
        <v>1080580.997777571</v>
      </c>
      <c r="I5" s="17">
        <f t="shared" si="2"/>
        <v>5985419.002222429</v>
      </c>
    </row>
    <row r="6" spans="1:9" ht="15.75" customHeight="1" x14ac:dyDescent="0.25">
      <c r="A6" s="5">
        <f t="shared" si="3"/>
        <v>2025</v>
      </c>
      <c r="B6" s="49">
        <v>942632.73099999991</v>
      </c>
      <c r="C6" s="50">
        <v>1590000</v>
      </c>
      <c r="D6" s="50">
        <v>2516000</v>
      </c>
      <c r="E6" s="50">
        <v>1895000</v>
      </c>
      <c r="F6" s="50">
        <v>1274000</v>
      </c>
      <c r="G6" s="17">
        <f t="shared" si="0"/>
        <v>7275000</v>
      </c>
      <c r="H6" s="17">
        <f t="shared" si="1"/>
        <v>1092352.4664121021</v>
      </c>
      <c r="I6" s="17">
        <f t="shared" si="2"/>
        <v>6182647.5335878981</v>
      </c>
    </row>
    <row r="7" spans="1:9" ht="15.75" customHeight="1" x14ac:dyDescent="0.25">
      <c r="A7" s="5">
        <f t="shared" si="3"/>
        <v>2026</v>
      </c>
      <c r="B7" s="49">
        <v>954405.18079999997</v>
      </c>
      <c r="C7" s="50">
        <v>1628000</v>
      </c>
      <c r="D7" s="50">
        <v>2588000</v>
      </c>
      <c r="E7" s="50">
        <v>1938000</v>
      </c>
      <c r="F7" s="50">
        <v>1328000</v>
      </c>
      <c r="G7" s="17">
        <f t="shared" si="0"/>
        <v>7482000</v>
      </c>
      <c r="H7" s="17">
        <f t="shared" si="1"/>
        <v>1105994.75163288</v>
      </c>
      <c r="I7" s="17">
        <f t="shared" si="2"/>
        <v>6376005.2483671196</v>
      </c>
    </row>
    <row r="8" spans="1:9" ht="15.75" customHeight="1" x14ac:dyDescent="0.25">
      <c r="A8" s="5">
        <f t="shared" si="3"/>
        <v>2027</v>
      </c>
      <c r="B8" s="49">
        <v>966008.05839999986</v>
      </c>
      <c r="C8" s="50">
        <v>1666000</v>
      </c>
      <c r="D8" s="50">
        <v>2666000</v>
      </c>
      <c r="E8" s="50">
        <v>1979000</v>
      </c>
      <c r="F8" s="50">
        <v>1383000</v>
      </c>
      <c r="G8" s="17">
        <f t="shared" si="0"/>
        <v>7694000</v>
      </c>
      <c r="H8" s="17">
        <f t="shared" si="1"/>
        <v>1119440.5312531057</v>
      </c>
      <c r="I8" s="17">
        <f t="shared" si="2"/>
        <v>6574559.468746894</v>
      </c>
    </row>
    <row r="9" spans="1:9" ht="15.75" customHeight="1" x14ac:dyDescent="0.25">
      <c r="A9" s="5">
        <f t="shared" si="3"/>
        <v>2028</v>
      </c>
      <c r="B9" s="49">
        <v>977398.3088</v>
      </c>
      <c r="C9" s="50">
        <v>1702000</v>
      </c>
      <c r="D9" s="50">
        <v>2748000</v>
      </c>
      <c r="E9" s="50">
        <v>2022000</v>
      </c>
      <c r="F9" s="50">
        <v>1439000</v>
      </c>
      <c r="G9" s="17">
        <f t="shared" si="0"/>
        <v>7911000</v>
      </c>
      <c r="H9" s="17">
        <f t="shared" si="1"/>
        <v>1132639.9117841553</v>
      </c>
      <c r="I9" s="17">
        <f t="shared" si="2"/>
        <v>6778360.0882158447</v>
      </c>
    </row>
    <row r="10" spans="1:9" ht="15.75" customHeight="1" x14ac:dyDescent="0.25">
      <c r="A10" s="5">
        <f t="shared" si="3"/>
        <v>2029</v>
      </c>
      <c r="B10" s="49">
        <v>988565.00599999994</v>
      </c>
      <c r="C10" s="50">
        <v>1737000</v>
      </c>
      <c r="D10" s="50">
        <v>2831000</v>
      </c>
      <c r="E10" s="50">
        <v>2068000</v>
      </c>
      <c r="F10" s="50">
        <v>1493000</v>
      </c>
      <c r="G10" s="17">
        <f t="shared" si="0"/>
        <v>8129000</v>
      </c>
      <c r="H10" s="17">
        <f t="shared" si="1"/>
        <v>1145580.2318334673</v>
      </c>
      <c r="I10" s="17">
        <f t="shared" si="2"/>
        <v>6983419.7681665327</v>
      </c>
    </row>
    <row r="11" spans="1:9" ht="15.75" customHeight="1" x14ac:dyDescent="0.25">
      <c r="A11" s="5">
        <f t="shared" si="3"/>
        <v>2030</v>
      </c>
      <c r="B11" s="49">
        <v>999557.84</v>
      </c>
      <c r="C11" s="50">
        <v>1770000</v>
      </c>
      <c r="D11" s="50">
        <v>2915000</v>
      </c>
      <c r="E11" s="50">
        <v>2118000</v>
      </c>
      <c r="F11" s="50">
        <v>1546000</v>
      </c>
      <c r="G11" s="17">
        <f t="shared" si="0"/>
        <v>8349000</v>
      </c>
      <c r="H11" s="17">
        <f t="shared" si="1"/>
        <v>1158319.0737364215</v>
      </c>
      <c r="I11" s="17">
        <f t="shared" si="2"/>
        <v>7190680.9262635782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OX7IfFBjlHBxzugAXd60ZkYzvbzLn2AdMJXoFrr6ts81soK+I5X9h9cuGSUUcZfdX5f9BrNvNqyBIZ55pz+Hw==" saltValue="A/wp1vFTO9c/kKkEbzpRD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3.8439820689368265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3.8439820689368265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2.3198516396252953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2.3198516396252953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2.2554305173904678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2.2554305173904678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1.7483688229516001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1.7483688229516001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9.6713336610271625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9.6713336610271625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3.2203594015599681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3.2203594015599681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+RlZCidps0dNPuiIMTuvxNO5u+0Hzk8boYTOaLi8ApoTgB/X2MD8sO2v+pyHa9rEJCCx/8jZEEjJWfCfstijA==" saltValue="/qzjVnXuciK3m9fjiNB6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5YM3Cu3CQ/ZkAWD08Xvn0tma8yjFcRLzCOfGgVG2n6MdmJUpboZyHfRi2W0Jkl9R0e7SnWJReg4kIBjt1bWQDg==" saltValue="M/dJeubU0q+hbpBoWGd9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YleHeuo287PhOFoyUAqKJfzou+vrTtKXFhIM4mXXnDLoc5UGjbK08fK6nLoCCEJV4S9XS+4xmgnQPToWGrHoA==" saltValue="MYITs6xE5HqcnoNIArJj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0.59142792722429416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0.52743531610217154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0.82155487743553879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0.85655139656912094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0.82155487743553879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0.39015643373969322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0.3303340474963562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0.82187582614158838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0.78058667594685571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0.82187582614158838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0.78058667594685571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0.90351057412081004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0.87834331221909356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0.89169205022150921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0.86390649859661217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0.89169205022150921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0.86390649859661217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bcggKmoJVwleSVd5RNtvaJ8aHDhaGAiHqYnkfLqoa5fsvQmavDSRD2ZoJlc3/bLeBk23IRdP/Lmd6FGCzKcWw==" saltValue="yyZWJ0867bextFgixaXb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P519e2qWL4cAFgtj3HCyigUXKGKxy7G9wfaqRi5KVIHaedEpuxHRAw4x7z+iwpr8p2ayjjG2LIs4Z2ixCkifQ==" saltValue="xCKNEJxgj7WtWbQAgbxC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0.42709143180305092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0.52022411412045244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0.52022411412045244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0.56591839265781962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0.56591839265781962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0.56591839265781962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0.56591839265781962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0.60434094505991409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0.60434094505991409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0.60434094505991409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0.60434094505991409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0.53695865018005973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0.62779604378409104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0.62779604378409104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0.66974900924702785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0.66974900924702785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0.66974900924702785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0.66974900924702785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0.70379146919431268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0.70379146919431268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0.70379146919431268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0.25391367197410525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0.33110792562326219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0.33110792562326219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0.37310910627163457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0.37310910627163457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0.37310910627163457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0.37310910627163457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0.41083047287258562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0.41083047287258562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0.41083047287258562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0.41083047287258562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0.40350264384885398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0.49594430607999851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0.49594430607999851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0.54191479615208427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0.54191479615208427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0.54191479615208427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0.54191479615208427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0.58088851634534777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0.58088851634534777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0.58088851634534777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0.90360248053525116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0.93166668522550378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0.93166668522550378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0.94250560570344388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0.94250560570344388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0.94250560570344388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0.94250560570344388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0.95050974957933287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0.95050974957933287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0.95050974957933287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0.95050974957933287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0.76926353707708173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0.82903819284867719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0.82903819284867719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0.85359783324793215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0.85359783324793215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0.85359783324793215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0.85359783324793215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0.87230238794534543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0.87230238794534543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0.87230238794534543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0.87230238794534543</v>
      </c>
    </row>
  </sheetData>
  <sheetProtection algorithmName="SHA-512" hashValue="fRC9MBSmAhb0JUQXZWncc+LoivBncgOFnr8/CylB451bB3LoLXIVt/QVlxHjrSUzzfO6Vt0kaRBNc4kHrM4Aqw==" saltValue="WGrMM/xau60PQCstPrO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0.74656883675944685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0.74719203434643511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0.74878331152130473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0.74975123547606504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0.74511352268321429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0.7431750956908969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0.74507770049070121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0.74761522679400882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0.64288754819542526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0.64364400517593623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0.64557789462187809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0.64675587143697999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0.64112305229405753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0.63877716872471879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0.64107965512899379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0.64415798429995375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0.85867331598115471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0.85907288121344061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0.86009179702483762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0.86071063350667754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0.85773908634998119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0.85649221823043975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0.85771607018597706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0.85934404435761391</v>
      </c>
    </row>
  </sheetData>
  <sheetProtection algorithmName="SHA-512" hashValue="t4PdpVoE5ZMqzvxnfGz6Y1Jgs9wujVl2Th6uDtfbSwAg+xG8puAPtJ8w1X7b+KwHw9GKYBRW64X50iE/IruiHQ==" saltValue="JstymyN/VplyQUXylYgO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YRsccHu9ONi90O4dFkfPlHPsQGHZ4sspPlqwInrg0LFTuJyLac7m3DObj3f/ZoS/IG/nA97b4e20e60bd22Jg==" saltValue="6gEPiEn5drD7bc8bokH3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aXpUt3MsRnFnQhN+lmNuyDGd3pGXrIlBxlVW0f0addev+Pdy5RcBNcxsOlCoKOGysMLZNLGWrRO0vXEbtC4UA==" saltValue="KIRw0lj+foQhuLDnTrQL0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4.1404905479928171E-3</v>
      </c>
    </row>
    <row r="4" spans="1:8" ht="15.75" customHeight="1" x14ac:dyDescent="0.25">
      <c r="B4" s="19" t="s">
        <v>79</v>
      </c>
      <c r="C4" s="101">
        <v>0.15067724305083199</v>
      </c>
    </row>
    <row r="5" spans="1:8" ht="15.75" customHeight="1" x14ac:dyDescent="0.25">
      <c r="B5" s="19" t="s">
        <v>80</v>
      </c>
      <c r="C5" s="101">
        <v>7.1929353104269192E-2</v>
      </c>
    </row>
    <row r="6" spans="1:8" ht="15.75" customHeight="1" x14ac:dyDescent="0.25">
      <c r="B6" s="19" t="s">
        <v>81</v>
      </c>
      <c r="C6" s="101">
        <v>0.31100638650966139</v>
      </c>
    </row>
    <row r="7" spans="1:8" ht="15.75" customHeight="1" x14ac:dyDescent="0.25">
      <c r="B7" s="19" t="s">
        <v>82</v>
      </c>
      <c r="C7" s="101">
        <v>0.28811144877880068</v>
      </c>
    </row>
    <row r="8" spans="1:8" ht="15.75" customHeight="1" x14ac:dyDescent="0.25">
      <c r="B8" s="19" t="s">
        <v>83</v>
      </c>
      <c r="C8" s="101">
        <v>7.2973106631810244E-3</v>
      </c>
    </row>
    <row r="9" spans="1:8" ht="15.75" customHeight="1" x14ac:dyDescent="0.25">
      <c r="B9" s="19" t="s">
        <v>84</v>
      </c>
      <c r="C9" s="101">
        <v>8.5094546065110077E-2</v>
      </c>
    </row>
    <row r="10" spans="1:8" ht="15.75" customHeight="1" x14ac:dyDescent="0.25">
      <c r="B10" s="19" t="s">
        <v>85</v>
      </c>
      <c r="C10" s="101">
        <v>8.1743221280152809E-2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0.13173120612615169</v>
      </c>
      <c r="D14" s="55">
        <v>0.13173120612615169</v>
      </c>
      <c r="E14" s="55">
        <v>0.13173120612615169</v>
      </c>
      <c r="F14" s="55">
        <v>0.13173120612615169</v>
      </c>
    </row>
    <row r="15" spans="1:8" ht="15.75" customHeight="1" x14ac:dyDescent="0.25">
      <c r="B15" s="19" t="s">
        <v>88</v>
      </c>
      <c r="C15" s="101">
        <v>0.1844682332361591</v>
      </c>
      <c r="D15" s="101">
        <v>0.1844682332361591</v>
      </c>
      <c r="E15" s="101">
        <v>0.1844682332361591</v>
      </c>
      <c r="F15" s="101">
        <v>0.1844682332361591</v>
      </c>
    </row>
    <row r="16" spans="1:8" ht="15.75" customHeight="1" x14ac:dyDescent="0.25">
      <c r="B16" s="19" t="s">
        <v>89</v>
      </c>
      <c r="C16" s="101">
        <v>2.1910978784838761E-2</v>
      </c>
      <c r="D16" s="101">
        <v>2.1910978784838761E-2</v>
      </c>
      <c r="E16" s="101">
        <v>2.1910978784838761E-2</v>
      </c>
      <c r="F16" s="101">
        <v>2.1910978784838761E-2</v>
      </c>
    </row>
    <row r="17" spans="1:8" ht="15.75" customHeight="1" x14ac:dyDescent="0.25">
      <c r="B17" s="19" t="s">
        <v>90</v>
      </c>
      <c r="C17" s="101">
        <v>4.1593375876408578E-3</v>
      </c>
      <c r="D17" s="101">
        <v>4.1593375876408578E-3</v>
      </c>
      <c r="E17" s="101">
        <v>4.1593375876408578E-3</v>
      </c>
      <c r="F17" s="101">
        <v>4.1593375876408578E-3</v>
      </c>
    </row>
    <row r="18" spans="1:8" ht="15.75" customHeight="1" x14ac:dyDescent="0.25">
      <c r="B18" s="19" t="s">
        <v>91</v>
      </c>
      <c r="C18" s="101">
        <v>0.19811622928053149</v>
      </c>
      <c r="D18" s="101">
        <v>0.19811622928053149</v>
      </c>
      <c r="E18" s="101">
        <v>0.19811622928053149</v>
      </c>
      <c r="F18" s="101">
        <v>0.19811622928053149</v>
      </c>
    </row>
    <row r="19" spans="1:8" ht="15.75" customHeight="1" x14ac:dyDescent="0.25">
      <c r="B19" s="19" t="s">
        <v>92</v>
      </c>
      <c r="C19" s="101">
        <v>1.4454658450420311E-2</v>
      </c>
      <c r="D19" s="101">
        <v>1.4454658450420311E-2</v>
      </c>
      <c r="E19" s="101">
        <v>1.4454658450420311E-2</v>
      </c>
      <c r="F19" s="101">
        <v>1.4454658450420311E-2</v>
      </c>
    </row>
    <row r="20" spans="1:8" ht="15.75" customHeight="1" x14ac:dyDescent="0.25">
      <c r="B20" s="19" t="s">
        <v>93</v>
      </c>
      <c r="C20" s="101">
        <v>5.0624221235120288E-2</v>
      </c>
      <c r="D20" s="101">
        <v>5.0624221235120288E-2</v>
      </c>
      <c r="E20" s="101">
        <v>5.0624221235120288E-2</v>
      </c>
      <c r="F20" s="101">
        <v>5.0624221235120288E-2</v>
      </c>
    </row>
    <row r="21" spans="1:8" ht="15.75" customHeight="1" x14ac:dyDescent="0.25">
      <c r="B21" s="19" t="s">
        <v>94</v>
      </c>
      <c r="C21" s="101">
        <v>9.1773838695757823E-2</v>
      </c>
      <c r="D21" s="101">
        <v>9.1773838695757823E-2</v>
      </c>
      <c r="E21" s="101">
        <v>9.1773838695757823E-2</v>
      </c>
      <c r="F21" s="101">
        <v>9.1773838695757823E-2</v>
      </c>
    </row>
    <row r="22" spans="1:8" ht="15.75" customHeight="1" x14ac:dyDescent="0.25">
      <c r="B22" s="19" t="s">
        <v>95</v>
      </c>
      <c r="C22" s="101">
        <v>0.30276129660337969</v>
      </c>
      <c r="D22" s="101">
        <v>0.30276129660337969</v>
      </c>
      <c r="E22" s="101">
        <v>0.30276129660337969</v>
      </c>
      <c r="F22" s="101">
        <v>0.30276129660337969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0.103690241</v>
      </c>
    </row>
    <row r="27" spans="1:8" ht="15.75" customHeight="1" x14ac:dyDescent="0.25">
      <c r="B27" s="19" t="s">
        <v>102</v>
      </c>
      <c r="C27" s="101">
        <v>9.3634809999999999E-3</v>
      </c>
    </row>
    <row r="28" spans="1:8" ht="15.75" customHeight="1" x14ac:dyDescent="0.25">
      <c r="B28" s="19" t="s">
        <v>103</v>
      </c>
      <c r="C28" s="101">
        <v>0.116756885</v>
      </c>
    </row>
    <row r="29" spans="1:8" ht="15.75" customHeight="1" x14ac:dyDescent="0.25">
      <c r="B29" s="19" t="s">
        <v>104</v>
      </c>
      <c r="C29" s="101">
        <v>0.15363832899999999</v>
      </c>
    </row>
    <row r="30" spans="1:8" ht="15.75" customHeight="1" x14ac:dyDescent="0.25">
      <c r="B30" s="19" t="s">
        <v>2</v>
      </c>
      <c r="C30" s="101">
        <v>0.13426711399999999</v>
      </c>
    </row>
    <row r="31" spans="1:8" ht="15.75" customHeight="1" x14ac:dyDescent="0.25">
      <c r="B31" s="19" t="s">
        <v>105</v>
      </c>
      <c r="C31" s="101">
        <v>6.5823823000000004E-2</v>
      </c>
    </row>
    <row r="32" spans="1:8" ht="15.75" customHeight="1" x14ac:dyDescent="0.25">
      <c r="B32" s="19" t="s">
        <v>106</v>
      </c>
      <c r="C32" s="101">
        <v>6.84434E-3</v>
      </c>
    </row>
    <row r="33" spans="2:3" ht="15.75" customHeight="1" x14ac:dyDescent="0.25">
      <c r="B33" s="19" t="s">
        <v>107</v>
      </c>
      <c r="C33" s="101">
        <v>0.192122402</v>
      </c>
    </row>
    <row r="34" spans="2:3" ht="15.75" customHeight="1" x14ac:dyDescent="0.25">
      <c r="B34" s="19" t="s">
        <v>108</v>
      </c>
      <c r="C34" s="101">
        <v>0.21749338600000001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x7G8wSwDwXiDmNEsNkE/ngDCzXct8M6Ine7q0Yej/Zdu/jmalI6R1YFvJzbq+fCFcVdC8qKU/JH2Ib5hjppFTA==" saltValue="EhIzBhv3L97Wx7qOA1cM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0.45978296995326162</v>
      </c>
      <c r="D2" s="52">
        <f>IFERROR(1-_xlfn.NORM.DIST(_xlfn.NORM.INV(SUM(D4:D5), 0, 1) + 1, 0, 1, TRUE), "")</f>
        <v>0.45978296995326162</v>
      </c>
      <c r="E2" s="52">
        <f>IFERROR(1-_xlfn.NORM.DIST(_xlfn.NORM.INV(SUM(E4:E5), 0, 1) + 1, 0, 1, TRUE), "")</f>
        <v>0.45765332970858608</v>
      </c>
      <c r="F2" s="52">
        <f>IFERROR(1-_xlfn.NORM.DIST(_xlfn.NORM.INV(SUM(F4:F5), 0, 1) + 1, 0, 1, TRUE), "")</f>
        <v>0.25017701585838048</v>
      </c>
      <c r="G2" s="52">
        <f>IFERROR(1-_xlfn.NORM.DIST(_xlfn.NORM.INV(SUM(G4:G5), 0, 1) + 1, 0, 1, TRUE), "")</f>
        <v>0.31120579047438734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0.35589589304673841</v>
      </c>
      <c r="D3" s="52">
        <f>IFERROR(_xlfn.NORM.DIST(_xlfn.NORM.INV(SUM(D4:D5), 0, 1) + 1, 0, 1, TRUE) - SUM(D4:D5), "")</f>
        <v>0.35589589304673841</v>
      </c>
      <c r="E3" s="52">
        <f>IFERROR(_xlfn.NORM.DIST(_xlfn.NORM.INV(SUM(E4:E5), 0, 1) + 1, 0, 1, TRUE) - SUM(E4:E5), "")</f>
        <v>0.35659275129141393</v>
      </c>
      <c r="F3" s="52">
        <f>IFERROR(_xlfn.NORM.DIST(_xlfn.NORM.INV(SUM(F4:F5), 0, 1) + 1, 0, 1, TRUE) - SUM(F4:F5), "")</f>
        <v>0.37763622414161951</v>
      </c>
      <c r="G3" s="52">
        <f>IFERROR(_xlfn.NORM.DIST(_xlfn.NORM.INV(SUM(G4:G5), 0, 1) + 1, 0, 1, TRUE) - SUM(G4:G5), "")</f>
        <v>0.38291484952561261</v>
      </c>
    </row>
    <row r="4" spans="1:15" ht="15.75" customHeight="1" x14ac:dyDescent="0.25">
      <c r="B4" s="5" t="s">
        <v>114</v>
      </c>
      <c r="C4" s="45">
        <v>9.7501773999999999E-2</v>
      </c>
      <c r="D4" s="53">
        <v>9.7501773999999999E-2</v>
      </c>
      <c r="E4" s="53">
        <v>6.8176278999999992E-2</v>
      </c>
      <c r="F4" s="53">
        <v>0.21162142</v>
      </c>
      <c r="G4" s="53">
        <v>0.16220327000000001</v>
      </c>
    </row>
    <row r="5" spans="1:15" ht="15.75" customHeight="1" x14ac:dyDescent="0.25">
      <c r="B5" s="5" t="s">
        <v>115</v>
      </c>
      <c r="C5" s="45">
        <v>8.6819362999999997E-2</v>
      </c>
      <c r="D5" s="53">
        <v>8.6819362999999997E-2</v>
      </c>
      <c r="E5" s="53">
        <v>0.11757764</v>
      </c>
      <c r="F5" s="53">
        <v>0.16056534</v>
      </c>
      <c r="G5" s="53">
        <v>0.14367609000000001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0.70147133385984539</v>
      </c>
      <c r="D8" s="52">
        <f>IFERROR(1-_xlfn.NORM.DIST(_xlfn.NORM.INV(SUM(D10:D11), 0, 1) + 1, 0, 1, TRUE), "")</f>
        <v>0.70147133385984539</v>
      </c>
      <c r="E8" s="52">
        <f>IFERROR(1-_xlfn.NORM.DIST(_xlfn.NORM.INV(SUM(E10:E11), 0, 1) + 1, 0, 1, TRUE), "")</f>
        <v>0.68358083809839942</v>
      </c>
      <c r="F8" s="52">
        <f>IFERROR(1-_xlfn.NORM.DIST(_xlfn.NORM.INV(SUM(F10:F11), 0, 1) + 1, 0, 1, TRUE), "")</f>
        <v>0.73463224279008088</v>
      </c>
      <c r="G8" s="52">
        <f>IFERROR(1-_xlfn.NORM.DIST(_xlfn.NORM.INV(SUM(G10:G11), 0, 1) + 1, 0, 1, TRUE), "")</f>
        <v>0.7961269415510005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0.23535142914015461</v>
      </c>
      <c r="D9" s="52">
        <f>IFERROR(_xlfn.NORM.DIST(_xlfn.NORM.INV(SUM(D10:D11), 0, 1) + 1, 0, 1, TRUE) - SUM(D10:D11), "")</f>
        <v>0.23535142914015461</v>
      </c>
      <c r="E9" s="52">
        <f>IFERROR(_xlfn.NORM.DIST(_xlfn.NORM.INV(SUM(E10:E11), 0, 1) + 1, 0, 1, TRUE) - SUM(E10:E11), "")</f>
        <v>0.24667989590160064</v>
      </c>
      <c r="F9" s="52">
        <f>IFERROR(_xlfn.NORM.DIST(_xlfn.NORM.INV(SUM(F10:F11), 0, 1) + 1, 0, 1, TRUE) - SUM(F10:F11), "")</f>
        <v>0.21348685020991912</v>
      </c>
      <c r="G9" s="52">
        <f>IFERROR(_xlfn.NORM.DIST(_xlfn.NORM.INV(SUM(G10:G11), 0, 1) + 1, 0, 1, TRUE) - SUM(G10:G11), "")</f>
        <v>0.17008826244899952</v>
      </c>
    </row>
    <row r="10" spans="1:15" ht="15.75" customHeight="1" x14ac:dyDescent="0.25">
      <c r="B10" s="5" t="s">
        <v>119</v>
      </c>
      <c r="C10" s="45">
        <v>3.5305971999999998E-2</v>
      </c>
      <c r="D10" s="53">
        <v>3.5305971999999998E-2</v>
      </c>
      <c r="E10" s="53">
        <v>4.5077882E-2</v>
      </c>
      <c r="F10" s="53">
        <v>3.5487905E-2</v>
      </c>
      <c r="G10" s="53">
        <v>2.2472625E-2</v>
      </c>
    </row>
    <row r="11" spans="1:15" ht="15.75" customHeight="1" x14ac:dyDescent="0.25">
      <c r="B11" s="5" t="s">
        <v>120</v>
      </c>
      <c r="C11" s="45">
        <v>2.7871264999999999E-2</v>
      </c>
      <c r="D11" s="53">
        <v>2.7871264999999999E-2</v>
      </c>
      <c r="E11" s="53">
        <v>2.4661384000000001E-2</v>
      </c>
      <c r="F11" s="53">
        <v>1.6393002E-2</v>
      </c>
      <c r="G11" s="53">
        <v>1.1312170999999999E-2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0.72753117025000014</v>
      </c>
      <c r="D14" s="54">
        <v>0.71009141495200001</v>
      </c>
      <c r="E14" s="54">
        <v>0.71009141495200001</v>
      </c>
      <c r="F14" s="54">
        <v>0.57832524795899998</v>
      </c>
      <c r="G14" s="54">
        <v>0.57832524795899998</v>
      </c>
      <c r="H14" s="45">
        <v>0.49299999999999999</v>
      </c>
      <c r="I14" s="55">
        <v>0.49299999999999999</v>
      </c>
      <c r="J14" s="55">
        <v>0.49299999999999999</v>
      </c>
      <c r="K14" s="55">
        <v>0.49299999999999999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0.33100485652864253</v>
      </c>
      <c r="D15" s="52">
        <f t="shared" si="0"/>
        <v>0.32307029106071145</v>
      </c>
      <c r="E15" s="52">
        <f t="shared" si="0"/>
        <v>0.32307029106071145</v>
      </c>
      <c r="F15" s="52">
        <f t="shared" si="0"/>
        <v>0.26312063806390623</v>
      </c>
      <c r="G15" s="52">
        <f t="shared" si="0"/>
        <v>0.26312063806390623</v>
      </c>
      <c r="H15" s="52">
        <f t="shared" si="0"/>
        <v>0.22430021</v>
      </c>
      <c r="I15" s="52">
        <f t="shared" si="0"/>
        <v>0.22430021</v>
      </c>
      <c r="J15" s="52">
        <f t="shared" si="0"/>
        <v>0.22430021</v>
      </c>
      <c r="K15" s="52">
        <f t="shared" si="0"/>
        <v>0.22430021</v>
      </c>
      <c r="L15" s="52">
        <f t="shared" si="0"/>
        <v>0.18471782</v>
      </c>
      <c r="M15" s="52">
        <f t="shared" si="0"/>
        <v>0.18471782</v>
      </c>
      <c r="N15" s="52">
        <f t="shared" si="0"/>
        <v>0.18471782</v>
      </c>
      <c r="O15" s="52">
        <f t="shared" si="0"/>
        <v>0.18471782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kpkDvbEqNd6UgUiSc3UOc/1LE5g0YVh9ULgJx3OU2c+e7deEbjqT7W+Ho2rSAZuN6HuB7EsiCVMSPqMdoSWjg==" saltValue="iD/ORmOQoiyCkN86xnpH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0.51480320000000002</v>
      </c>
      <c r="D2" s="53">
        <v>0.36904480000000001</v>
      </c>
      <c r="E2" s="53"/>
      <c r="F2" s="53"/>
      <c r="G2" s="53"/>
    </row>
    <row r="3" spans="1:7" x14ac:dyDescent="0.25">
      <c r="B3" s="3" t="s">
        <v>130</v>
      </c>
      <c r="C3" s="53">
        <v>0.31314429999999999</v>
      </c>
      <c r="D3" s="53">
        <v>0.31275219999999998</v>
      </c>
      <c r="E3" s="53"/>
      <c r="F3" s="53"/>
      <c r="G3" s="53"/>
    </row>
    <row r="4" spans="1:7" x14ac:dyDescent="0.25">
      <c r="B4" s="3" t="s">
        <v>131</v>
      </c>
      <c r="C4" s="53">
        <v>9.5658790000000007E-2</v>
      </c>
      <c r="D4" s="53">
        <v>0.23787730000000001</v>
      </c>
      <c r="E4" s="53">
        <v>0.8988366723060609</v>
      </c>
      <c r="F4" s="53">
        <v>0.46314078569412198</v>
      </c>
      <c r="G4" s="53"/>
    </row>
    <row r="5" spans="1:7" x14ac:dyDescent="0.25">
      <c r="B5" s="3" t="s">
        <v>132</v>
      </c>
      <c r="C5" s="52">
        <v>7.639377E-2</v>
      </c>
      <c r="D5" s="52">
        <v>8.032576000000001E-2</v>
      </c>
      <c r="E5" s="52">
        <f>1-SUM(E2:E4)</f>
        <v>0.1011633276939391</v>
      </c>
      <c r="F5" s="52">
        <f>1-SUM(F2:F4)</f>
        <v>0.53685921430587802</v>
      </c>
      <c r="G5" s="52">
        <f>1-SUM(G2:G4)</f>
        <v>1</v>
      </c>
    </row>
  </sheetData>
  <sheetProtection algorithmName="SHA-512" hashValue="Rvhp4fiODSv7EeO8IeFVhBN41dJNYCtyjK/guzNTqGnivCebh7g1tTOMRmR2+m41vYJoAcpbiRMHfrXs9iktig==" saltValue="XK2U+ja2t+gDtLqZl2RQ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OXkGl91lYYP78nUVFtEm/nRrNQ0GSOg4ipguD1mnNEbb2s7hY60lrZ3n0Ob1gjx5L/JUMn9SsTHqTf7vegrgw==" saltValue="PqEoBq6v8mkzWJ3RmI6b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M3fcuHPKYxZLwXij2/6Fj/hYYb14oLQbFI190eKAqJkkx4ip1fSCDXP79AczRMdRQcWkn9pp/kcgXdMh4KjRaw==" saltValue="p7U+sVUx2NEYxP/9hulw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kLsFKZA1oUIGUifPwGvqlwhlUVQIODnU+NM14XVm3io6LWxPbd9DpN8xkZxdzXYdpes0pC3iNis2+fzcIBtqBA==" saltValue="pyUSXswJ1bpTWGje++Y5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6k8z9UN9H/Ku0Aivk3+IeHPfiFfw35DrYgzqr3YrtEcXCdz/ERMemSQgPTgINNzLRvsLa42OtxaWdCSh0fvH8A==" saltValue="/ObhURD5e6Q+G14ltMz3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2024-03-18T01:27:18Z</dcterms:modified>
</cp:coreProperties>
</file>