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D4E0730-CD99-4A73-91B7-9A2FC955D5E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9" i="2" s="1"/>
  <c r="C33" i="1"/>
  <c r="C20" i="1"/>
  <c r="A27" i="2" l="1"/>
  <c r="A19" i="2"/>
  <c r="A35" i="2"/>
  <c r="A13" i="2"/>
  <c r="A21" i="2"/>
  <c r="A29" i="2"/>
  <c r="A37" i="2"/>
  <c r="A36" i="2"/>
  <c r="A14" i="2"/>
  <c r="A22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8" i="2"/>
  <c r="A15" i="2"/>
  <c r="A23" i="2"/>
  <c r="A31" i="2"/>
  <c r="A17" i="2"/>
  <c r="A20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<sst xmlns="http://schemas.openxmlformats.org/spreadsheetml/2006/main" count="2092" uniqueCount="337">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</sst>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323342.7265625</v>
      </c>
    </row>
    <row r="8" spans="1:3" ht="15" customHeight="1" x14ac:dyDescent="0.25">
      <c r="B8" s="5" t="s">
        <v>19</v>
      </c>
      <c r="C8" s="44">
        <v>1.4E-2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0.84452529907226603</v>
      </c>
    </row>
    <row r="11" spans="1:3" ht="15" customHeight="1" x14ac:dyDescent="0.25">
      <c r="B11" s="5" t="s">
        <v>22</v>
      </c>
      <c r="C11" s="45">
        <v>0.97599999999999998</v>
      </c>
    </row>
    <row r="12" spans="1:3" ht="15" customHeight="1" x14ac:dyDescent="0.25">
      <c r="B12" s="5" t="s">
        <v>23</v>
      </c>
      <c r="C12" s="45">
        <v>0.77200000000000002</v>
      </c>
    </row>
    <row r="13" spans="1:3" ht="15" customHeight="1" x14ac:dyDescent="0.25">
      <c r="B13" s="5" t="s">
        <v>24</v>
      </c>
      <c r="C13" s="45">
        <v>0.109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0.1542</v>
      </c>
    </row>
    <row r="24" spans="1:3" ht="15" customHeight="1" x14ac:dyDescent="0.25">
      <c r="B24" s="15" t="s">
        <v>33</v>
      </c>
      <c r="C24" s="45">
        <v>0.504</v>
      </c>
    </row>
    <row r="25" spans="1:3" ht="15" customHeight="1" x14ac:dyDescent="0.25">
      <c r="B25" s="15" t="s">
        <v>34</v>
      </c>
      <c r="C25" s="45">
        <v>0.31219999999999998</v>
      </c>
    </row>
    <row r="26" spans="1:3" ht="15" customHeight="1" x14ac:dyDescent="0.25">
      <c r="B26" s="15" t="s">
        <v>35</v>
      </c>
      <c r="C26" s="45">
        <v>2.9600000000000001E-2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6.1573833137445604</v>
      </c>
    </row>
    <row r="38" spans="1:5" ht="15" customHeight="1" x14ac:dyDescent="0.25">
      <c r="B38" s="11" t="s">
        <v>45</v>
      </c>
      <c r="C38" s="43">
        <v>7.5435707882581999</v>
      </c>
      <c r="D38" s="12"/>
      <c r="E38" s="13"/>
    </row>
    <row r="39" spans="1:5" ht="15" customHeight="1" x14ac:dyDescent="0.25">
      <c r="B39" s="11" t="s">
        <v>46</v>
      </c>
      <c r="C39" s="43">
        <v>8.6192212346124695</v>
      </c>
      <c r="D39" s="12"/>
      <c r="E39" s="12"/>
    </row>
    <row r="40" spans="1:5" ht="15" customHeight="1" x14ac:dyDescent="0.25">
      <c r="B40" s="11" t="s">
        <v>47</v>
      </c>
      <c r="C40" s="100">
        <v>0.27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4.4836800459999999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7.6683000000000003E-3</v>
      </c>
      <c r="D45" s="12"/>
    </row>
    <row r="46" spans="1:5" ht="15.75" customHeight="1" x14ac:dyDescent="0.25">
      <c r="B46" s="11" t="s">
        <v>52</v>
      </c>
      <c r="C46" s="45">
        <v>7.7032299999999998E-2</v>
      </c>
      <c r="D46" s="12"/>
    </row>
    <row r="47" spans="1:5" ht="15.75" customHeight="1" x14ac:dyDescent="0.25">
      <c r="B47" s="11" t="s">
        <v>53</v>
      </c>
      <c r="C47" s="45">
        <v>5.80098E-2</v>
      </c>
      <c r="D47" s="12"/>
      <c r="E47" s="13"/>
    </row>
    <row r="48" spans="1:5" ht="15" customHeight="1" x14ac:dyDescent="0.25">
      <c r="B48" s="11" t="s">
        <v>54</v>
      </c>
      <c r="C48" s="46">
        <v>0.85728959999999998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0.54813400000000001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7.4772848999999905E-2</v>
      </c>
    </row>
    <row r="63" spans="1:4" ht="15.75" customHeight="1" x14ac:dyDescent="0.3">
      <c r="A63" s="4"/>
    </row>
  </sheetData>
  <sheetProtection algorithmName="SHA-512" hashValue="x1okL1gg8JoWllbFBHJaUSArjackgqIOD4Lq9+1cPPX549pe+cj3SuzJl7tehWkgtNk31rUPh9tRvoyRDupWuw==" saltValue="F6r6WlDO6AbqvJOqUu+R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0.63209012076205195</v>
      </c>
      <c r="C2" s="98">
        <v>0.95</v>
      </c>
      <c r="D2" s="56">
        <v>107.0201908947332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40.978199545296739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1182.463810200042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1.727104628102593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14.11049898909264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14.11049898909264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14.11049898909264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14.11049898909264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14.11049898909264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14.11049898909264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0.75127765838598504</v>
      </c>
      <c r="C16" s="98">
        <v>0.95</v>
      </c>
      <c r="D16" s="56">
        <v>1.817264788987992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27.02885669161574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27.02885669161574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0.20890825269999999</v>
      </c>
      <c r="C21" s="98">
        <v>0.95</v>
      </c>
      <c r="D21" s="56">
        <v>17.591217247758362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24.926085555919201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3.2008066180000003E-2</v>
      </c>
      <c r="C23" s="98">
        <v>0.95</v>
      </c>
      <c r="D23" s="56">
        <v>4.9657873780366408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0.89337655369133406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0.61467118137531007</v>
      </c>
      <c r="C27" s="98">
        <v>0.95</v>
      </c>
      <c r="D27" s="56">
        <v>19.66637718058168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0.56282257079999998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225.46212730893359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0.86388676042059953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0.22471399</v>
      </c>
      <c r="C32" s="98">
        <v>0.95</v>
      </c>
      <c r="D32" s="56">
        <v>4.0149037192341366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0.97818360252186098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4.8103308680000012E-2</v>
      </c>
      <c r="C38" s="98">
        <v>0.95</v>
      </c>
      <c r="D38" s="56">
        <v>6.1634669588090496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0.75648277279999998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x3tTWggow1AJo4GwfaELZ03CCboeZ5pSHrP2jBvDo2DqZxcYlXxr/qp+ZiKrqtJhxe/qE37g0OM85WBpq99rw==" saltValue="xHSoFTcyI0MMbuf8X/h4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xXs732nhcmbJfBCfBwcDVVkgQgeSFamiGz774MSJ/33yNG4SAtcVJg1kqIvLmn+0qFkI0htM+bwkvy/l5XTR7g==" saltValue="/hy3oC1Bl5BFhP1qMCKT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mpwHPApAif3he9FtHeBqNKQgnRIAEqjWdJCeQ5P7ashoMqZwiYf4xfz314TidMbG5PhCfC2VsSLHgDBSFt+jZQ==" saltValue="ClXEls4IpUK6GRPDp23A8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3.9589771000000003E-2</v>
      </c>
      <c r="C3" s="21">
        <f>frac_mam_1_5months * 2.6</f>
        <v>3.9589771000000003E-2</v>
      </c>
      <c r="D3" s="21">
        <f>frac_mam_6_11months * 2.6</f>
        <v>1.107064348E-2</v>
      </c>
      <c r="E3" s="21">
        <f>frac_mam_12_23months * 2.6</f>
        <v>4.9481507399999999E-2</v>
      </c>
      <c r="F3" s="21">
        <f>frac_mam_24_59months * 2.6</f>
        <v>4.7725904200000009E-2</v>
      </c>
    </row>
    <row r="4" spans="1:6" ht="15.75" customHeight="1" x14ac:dyDescent="0.25">
      <c r="A4" s="3" t="s">
        <v>208</v>
      </c>
      <c r="B4" s="21">
        <f>frac_sam_1month * 2.6</f>
        <v>4.7193848000000004E-3</v>
      </c>
      <c r="C4" s="21">
        <f>frac_sam_1_5months * 2.6</f>
        <v>4.7193848000000004E-3</v>
      </c>
      <c r="D4" s="21">
        <f>frac_sam_6_11months * 2.6</f>
        <v>0</v>
      </c>
      <c r="E4" s="21">
        <f>frac_sam_12_23months * 2.6</f>
        <v>1.139856432E-2</v>
      </c>
      <c r="F4" s="21">
        <f>frac_sam_24_59months * 2.6</f>
        <v>1.3172276780000001E-3</v>
      </c>
    </row>
  </sheetData>
  <sheetProtection algorithmName="SHA-512" hashValue="h8PuABHJt8YHkICgoPV6MTQKuBBvB+Jbv2GIqYu24PzxfpJQtpgtK22f1VoVr1YW6OYPiJRJzTcP9bXab4q87w==" saltValue="fkxybhivf0MFGAacPNzD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0.77200000000000002</v>
      </c>
      <c r="E10" s="60">
        <f>IF(ISBLANK(comm_deliv), frac_children_health_facility,1)</f>
        <v>0.77200000000000002</v>
      </c>
      <c r="F10" s="60">
        <f>IF(ISBLANK(comm_deliv), frac_children_health_facility,1)</f>
        <v>0.77200000000000002</v>
      </c>
      <c r="G10" s="60">
        <f>IF(ISBLANK(comm_deliv), frac_children_health_facility,1)</f>
        <v>0.77200000000000002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0.97599999999999998</v>
      </c>
      <c r="I18" s="60">
        <f>frac_PW_health_facility</f>
        <v>0.97599999999999998</v>
      </c>
      <c r="J18" s="60">
        <f>frac_PW_health_facility</f>
        <v>0.97599999999999998</v>
      </c>
      <c r="K18" s="60">
        <f>frac_PW_health_facility</f>
        <v>0.97599999999999998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0.109</v>
      </c>
      <c r="M24" s="60">
        <f>famplan_unmet_need</f>
        <v>0.109</v>
      </c>
      <c r="N24" s="60">
        <f>famplan_unmet_need</f>
        <v>0.109</v>
      </c>
      <c r="O24" s="60">
        <f>famplan_unmet_need</f>
        <v>0.109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7.6639699075317175E-2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3.284558531799308E-2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4.5989416534423712E-2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0.84452529907226603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WiLNXe1Nx8PEAB8acp8DeNaczax3BHWwdM7rB3dEgbBClXccshWTIArdbz9F5Te5mWJNlg4uF39L8oThNLORw==" saltValue="Ge6SflRwfSv/ai4yi9fu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lroIf1XjU4GASn/OkNoKvyrlr/sUNvChau1ICp50ZgtnHF4lY6pl3fInon79DdfkRpZMsAZK7ViqjPEN3gJY3w==" saltValue="5IPuOgyZHJje9BO4JhUe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k2cxxMIHt2e2LPU0TCSEH5d0LmbqFKIsMOvoZPq9dS1DYq2gLdtdrJbvEb7F7z//fSUhghws0+A47e84+GhKQ==" saltValue="DM6aMeQ5UZRQOsXueLgW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HBXCgiexf731PKwIlADkCa6P++yJiqBxmHzvolfv0PpCWVxg0XEwftyhKI+9qKEIYY9qUpkNMFmm8tumW2sIg==" saltValue="gHbjk0cH2ca4aThskPtg2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Xq/bBq58Qblr0j141u1NSz9+eaqks0cY05E7AijLFj5ai+Nlnbtv8T+N2qyAhGpj4FCm/iGEvGuUraKWbVFRg==" saltValue="FyrxqUQM7nEJHqWuQh25U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iqYUI3kuLGPrwjNcdmryoe9mJ38avmtjGczLZV6ldUhorVp69ksx/y6wIzhxB4v/hhs9fX6axhs0wn5V5wtjQ==" saltValue="L9LUnn8WWHLU6E5b7Fhl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66865.478399999993</v>
      </c>
      <c r="C2" s="49">
        <v>176000</v>
      </c>
      <c r="D2" s="49">
        <v>394000</v>
      </c>
      <c r="E2" s="49">
        <v>402000</v>
      </c>
      <c r="F2" s="49">
        <v>332000</v>
      </c>
      <c r="G2" s="17">
        <f t="shared" ref="G2:G11" si="0">C2+D2+E2+F2</f>
        <v>1304000</v>
      </c>
      <c r="H2" s="17">
        <f t="shared" ref="H2:H11" si="1">(B2 + stillbirth*B2/(1000-stillbirth))/(1-abortion)</f>
        <v>76325.718281875234</v>
      </c>
      <c r="I2" s="17">
        <f t="shared" ref="I2:I11" si="2">G2-H2</f>
        <v>1227674.2817181249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66313.457999999999</v>
      </c>
      <c r="C3" s="50">
        <v>176000</v>
      </c>
      <c r="D3" s="50">
        <v>389000</v>
      </c>
      <c r="E3" s="50">
        <v>405000</v>
      </c>
      <c r="F3" s="50">
        <v>340000</v>
      </c>
      <c r="G3" s="17">
        <f t="shared" si="0"/>
        <v>1310000</v>
      </c>
      <c r="H3" s="17">
        <f t="shared" si="1"/>
        <v>75695.597111064213</v>
      </c>
      <c r="I3" s="17">
        <f t="shared" si="2"/>
        <v>1234304.4028889358</v>
      </c>
    </row>
    <row r="4" spans="1:9" ht="15.75" customHeight="1" x14ac:dyDescent="0.25">
      <c r="A4" s="5">
        <f t="shared" si="3"/>
        <v>2023</v>
      </c>
      <c r="B4" s="49">
        <v>65717.938000000009</v>
      </c>
      <c r="C4" s="50">
        <v>177000</v>
      </c>
      <c r="D4" s="50">
        <v>384000</v>
      </c>
      <c r="E4" s="50">
        <v>407000</v>
      </c>
      <c r="F4" s="50">
        <v>349000</v>
      </c>
      <c r="G4" s="17">
        <f t="shared" si="0"/>
        <v>1317000</v>
      </c>
      <c r="H4" s="17">
        <f t="shared" si="1"/>
        <v>75015.821943984542</v>
      </c>
      <c r="I4" s="17">
        <f t="shared" si="2"/>
        <v>1241984.1780560154</v>
      </c>
    </row>
    <row r="5" spans="1:9" ht="15.75" customHeight="1" x14ac:dyDescent="0.25">
      <c r="A5" s="5">
        <f t="shared" si="3"/>
        <v>2024</v>
      </c>
      <c r="B5" s="49">
        <v>65092.705800000011</v>
      </c>
      <c r="C5" s="50">
        <v>177000</v>
      </c>
      <c r="D5" s="50">
        <v>378000</v>
      </c>
      <c r="E5" s="50">
        <v>409000</v>
      </c>
      <c r="F5" s="50">
        <v>357000</v>
      </c>
      <c r="G5" s="17">
        <f t="shared" si="0"/>
        <v>1321000</v>
      </c>
      <c r="H5" s="17">
        <f t="shared" si="1"/>
        <v>74302.130845081745</v>
      </c>
      <c r="I5" s="17">
        <f t="shared" si="2"/>
        <v>1246697.8691549182</v>
      </c>
    </row>
    <row r="6" spans="1:9" ht="15.75" customHeight="1" x14ac:dyDescent="0.25">
      <c r="A6" s="5">
        <f t="shared" si="3"/>
        <v>2025</v>
      </c>
      <c r="B6" s="49">
        <v>64438.406999999999</v>
      </c>
      <c r="C6" s="50">
        <v>177000</v>
      </c>
      <c r="D6" s="50">
        <v>374000</v>
      </c>
      <c r="E6" s="50">
        <v>409000</v>
      </c>
      <c r="F6" s="50">
        <v>365000</v>
      </c>
      <c r="G6" s="17">
        <f t="shared" si="0"/>
        <v>1325000</v>
      </c>
      <c r="H6" s="17">
        <f t="shared" si="1"/>
        <v>73555.260754925184</v>
      </c>
      <c r="I6" s="17">
        <f t="shared" si="2"/>
        <v>1251444.7392450748</v>
      </c>
    </row>
    <row r="7" spans="1:9" ht="15.75" customHeight="1" x14ac:dyDescent="0.25">
      <c r="A7" s="5">
        <f t="shared" si="3"/>
        <v>2026</v>
      </c>
      <c r="B7" s="49">
        <v>63988.183199999999</v>
      </c>
      <c r="C7" s="50">
        <v>177000</v>
      </c>
      <c r="D7" s="50">
        <v>370000</v>
      </c>
      <c r="E7" s="50">
        <v>409000</v>
      </c>
      <c r="F7" s="50">
        <v>373000</v>
      </c>
      <c r="G7" s="17">
        <f t="shared" si="0"/>
        <v>1329000</v>
      </c>
      <c r="H7" s="17">
        <f t="shared" si="1"/>
        <v>73041.338537588657</v>
      </c>
      <c r="I7" s="17">
        <f t="shared" si="2"/>
        <v>1255958.6614624113</v>
      </c>
    </row>
    <row r="8" spans="1:9" ht="15.75" customHeight="1" x14ac:dyDescent="0.25">
      <c r="A8" s="5">
        <f t="shared" si="3"/>
        <v>2027</v>
      </c>
      <c r="B8" s="49">
        <v>63501.413399999998</v>
      </c>
      <c r="C8" s="50">
        <v>176000</v>
      </c>
      <c r="D8" s="50">
        <v>366000</v>
      </c>
      <c r="E8" s="50">
        <v>408000</v>
      </c>
      <c r="F8" s="50">
        <v>380000</v>
      </c>
      <c r="G8" s="17">
        <f t="shared" si="0"/>
        <v>1330000</v>
      </c>
      <c r="H8" s="17">
        <f t="shared" si="1"/>
        <v>72485.699730958586</v>
      </c>
      <c r="I8" s="17">
        <f t="shared" si="2"/>
        <v>1257514.3002690414</v>
      </c>
    </row>
    <row r="9" spans="1:9" ht="15.75" customHeight="1" x14ac:dyDescent="0.25">
      <c r="A9" s="5">
        <f t="shared" si="3"/>
        <v>2028</v>
      </c>
      <c r="B9" s="49">
        <v>62990.892199999987</v>
      </c>
      <c r="C9" s="50">
        <v>174000</v>
      </c>
      <c r="D9" s="50">
        <v>362000</v>
      </c>
      <c r="E9" s="50">
        <v>406000</v>
      </c>
      <c r="F9" s="50">
        <v>387000</v>
      </c>
      <c r="G9" s="17">
        <f t="shared" si="0"/>
        <v>1329000</v>
      </c>
      <c r="H9" s="17">
        <f t="shared" si="1"/>
        <v>71902.949136473559</v>
      </c>
      <c r="I9" s="17">
        <f t="shared" si="2"/>
        <v>1257097.0508635265</v>
      </c>
    </row>
    <row r="10" spans="1:9" ht="15.75" customHeight="1" x14ac:dyDescent="0.25">
      <c r="A10" s="5">
        <f t="shared" si="3"/>
        <v>2029</v>
      </c>
      <c r="B10" s="49">
        <v>62457.133199999989</v>
      </c>
      <c r="C10" s="50">
        <v>173000</v>
      </c>
      <c r="D10" s="50">
        <v>359000</v>
      </c>
      <c r="E10" s="50">
        <v>404000</v>
      </c>
      <c r="F10" s="50">
        <v>392000</v>
      </c>
      <c r="G10" s="17">
        <f t="shared" si="0"/>
        <v>1328000</v>
      </c>
      <c r="H10" s="17">
        <f t="shared" si="1"/>
        <v>71293.673019121867</v>
      </c>
      <c r="I10" s="17">
        <f t="shared" si="2"/>
        <v>1256706.3269808781</v>
      </c>
    </row>
    <row r="11" spans="1:9" ht="15.75" customHeight="1" x14ac:dyDescent="0.25">
      <c r="A11" s="5">
        <f t="shared" si="3"/>
        <v>2030</v>
      </c>
      <c r="B11" s="49">
        <v>61889.225000000013</v>
      </c>
      <c r="C11" s="50">
        <v>172000</v>
      </c>
      <c r="D11" s="50">
        <v>356000</v>
      </c>
      <c r="E11" s="50">
        <v>400000</v>
      </c>
      <c r="F11" s="50">
        <v>397000</v>
      </c>
      <c r="G11" s="17">
        <f t="shared" si="0"/>
        <v>1325000</v>
      </c>
      <c r="H11" s="17">
        <f t="shared" si="1"/>
        <v>70645.416215755235</v>
      </c>
      <c r="I11" s="17">
        <f t="shared" si="2"/>
        <v>1254354.5837842447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pCKbQ+wVnsTdm3mSMBGdqdeN1U8x8S+QBftGsERAnAuMA240RnAvDbmOAO4Hmsn30Df+UKFdnfY7MYGITk36w==" saltValue="UTIhrAhO4ESGcU3xo43LW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2.7729214351933549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2.7729214351933549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1.8622731506312067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1.8622731506312067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1.9268833391646965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1.9268833391646965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1.5345725138763562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1.5345725138763562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4.4410723658367548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4.4410723658367548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2.2785255706783687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2.2785255706783687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U3r0smqiYJqdhQoFN23Qdwo2+CZztuEsfYB89N/D/sZxtyTpOzWWl2zHCCKyOVaQsOdtfbqNNwomyGzyjwz1gw==" saltValue="4z6GIxg+cPZa/ODsngzuJ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KUkCCFlqIdtHH9QrOd/GcG++leec56IQMaZm7ANLW49eTARMvC85v5rN5xU7DjuYvlHORUSPTHTKcBZncWocg==" saltValue="Q4Hz0I16CoGmHYcY8Yq4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z2tiMIL7Jt/dWvtSYL541abTpVbk5BV8NKae60RmjFGh/rhz+2c7mkQNT5e6gem6CvtHf/3RRqE5kKb9VGKPg==" saltValue="pBc53n6DeM9sABcgVg9Y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0.63967580300237892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0.63012988415471305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0.8798513595127575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0.8754292028444195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0.8798513595127575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0.8754292028444195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0.43965338686620498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0.4295341290256468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0.84982054108070459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0.8444884387265269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0.84982054108070459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0.8444884387265269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0.91989639625142505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0.91680876771146402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0.90988471429934803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0.90645042596089309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0.90988471429934803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0.90645042596089309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9FEYewmyJ1c6f1qjDVSzsiFSwqD0kSiQWmO5C9GD/O5wacb/5uHUVYc8rcDOJOJSGV21PIzWPE3FCI+1+NSSg==" saltValue="/vp2RIg70kSLUF1pl/gG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ilkXITHd/ZP5vlyNDG+9J3icgJgTfK5b1yWMiOpVHe0RmSHMZEkaa2dtVH75Cd9NV8pi1LqVd18NsqXKrbJ8Q==" saltValue="Sa2f6wjrFqOdMdaoAdmG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0.69629383099908515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0.68592793169305544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0.68592793169305544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0.65943368687360127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0.65943368687360127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0.65943368687360127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0.65943368687360127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0.68710888610763443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0.68710888610763443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0.68710888610763443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0.68710888610763443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0.78100690815597873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0.77258804821124505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0.77258804821124505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0.75074775672981064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0.75074775672981064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0.75074775672981064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0.75074775672981064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0.77355072463768115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0.77355072463768115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0.77355072463768115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0.77355072463768115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0.51139605074453687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0.49925778332668402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0.49925778332668402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0.46920218781011286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0.46920218781011286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0.46920218781011286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0.46920218781011286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0.50062964088757644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0.50062964088757644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0.50062964088757644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0.50062964088757644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0.67536401293286841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0.66462782598277403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0.66462782598277403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0.63728690605730876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0.63728690605730876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0.63728690605730876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0.63728690605730876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0.66584985520160378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0.66584985520160378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0.66584985520160378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0.66584985520160378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0.96647448598363905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0.96486489017400368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0.96486489017400368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0.96054759932141875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0.96054759932141875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0.96054759932141875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0.96054759932141875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0.96505044385936301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0.96505044385936301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0.96505044385936301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0.96505044385936301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0.91113692485151354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0.90712582242593776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0.90712582242593776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0.89647497282468047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0.89647497282468047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0.89647497282468047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0.89647497282468047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0.90758709915904257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0.90758709915904257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0.90758709915904257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0.90758709915904257</v>
      </c>
    </row>
  </sheetData>
  <sheetProtection algorithmName="SHA-512" hashValue="AJhRABU1UEKOqqRFnyPfugXF2dZLlVfPK73hrvpkvMm6ce89XYLXy1+op58hezPH8UYY5Q5OYsP6lTxV6p655g==" saltValue="dfhwveOgjL68YcVyB+v6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0.75154060859594851</v>
      </c>
      <c r="E3" s="90" t="e">
        <f>IF(ISBLANK('Dist. de l''état nutritionnel'!E$11),(1/1.33),((1/1.33)*'Dist. de l''état nutritionnel'!E$11/(1-(1/1.33)*'Dist. de l''état nutritionnel'!E$11))
/ ('Dist. de l''état nutritionnel'!E$11/(1-'Dist. de l''état nutritionnel'!E$11)))</f>
        <v>#DIV/0!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0.75105911837737049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0.75178514879349345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0.74900613369303126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0.75108280116705628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0.74827773360691896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0.74840731979382835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0.64893686262878381</v>
      </c>
      <c r="E10" s="90" t="e">
        <f>IF(ISBLANK('Dist. de l''état nutritionnel'!E$11),(1/1.54),((1/1.54)*'Dist. de l''état nutritionnel'!E$11/(1-(1/1.54)*'Dist. de l''état nutritionnel'!E$11))
/ ('Dist. de l''état nutritionnel'!E$11/(1-'Dist. de l''état nutritionnel'!E$11)))</f>
        <v>#DIV/0!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0.6483495729242813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0.64923525548702821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0.64584896140928605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0.6483784523491688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0.6449630966128308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0.64512064482830112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0.86185279515294511</v>
      </c>
      <c r="E17" s="90" t="e">
        <f>IF(ISBLANK('Dist. de l''état nutritionnel'!E$11),(1/1.16),((1/1.16)*'Dist. de l''état nutritionnel'!E$11/(1-(1/1.16)*'Dist. de l''état nutritionnel'!E$11))
/ ('Dist. de l''état nutritionnel'!E$11/(1-'Dist. de l''état nutritionnel'!E$11)))</f>
        <v>#DIV/0!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0.86154569619119858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0.86200869828848237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0.86023431987069687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0.86156080538220436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0.85976827684111368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0.85985121771987816</v>
      </c>
    </row>
  </sheetData>
  <sheetProtection algorithmName="SHA-512" hashValue="s+odcRpDcSMngyzqCyvAnQHhMARamjv9lW66N0jToz7Cl5HbZqII0Wb1S1wjCFzWPeKGtE329M7sYFAqDECpLw==" saltValue="6YLVFZ1I1KJaov9RqSjx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dIqiB6dsJ2nznCVWvMnkB91Vb+I7VETF2ZPsOROKUCyuWg1RqLktGH+4vP7fxqK0oGfq8exfqihNj5C66fMbmw==" saltValue="cPtIiqvugcTVPb959Ng1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iXk/x9qzwBclWBePz7ucFYSfwXHO8euQIKsj6OjcWkvZGq3ezArAZClo4gIKppb1z5xSXyYZS1dCveSrB1F28Q==" saltValue="oGPLmTBwWJvWX7a7bXYgE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2.236840100862876E-2</v>
      </c>
    </row>
    <row r="5" spans="1:8" ht="15.75" customHeight="1" x14ac:dyDescent="0.25">
      <c r="B5" s="19" t="s">
        <v>80</v>
      </c>
      <c r="C5" s="101">
        <v>2.7828901869366401E-2</v>
      </c>
    </row>
    <row r="6" spans="1:8" ht="15.75" customHeight="1" x14ac:dyDescent="0.25">
      <c r="B6" s="19" t="s">
        <v>81</v>
      </c>
      <c r="C6" s="101">
        <v>0.10535892521549731</v>
      </c>
    </row>
    <row r="7" spans="1:8" ht="15.75" customHeight="1" x14ac:dyDescent="0.25">
      <c r="B7" s="19" t="s">
        <v>82</v>
      </c>
      <c r="C7" s="101">
        <v>0.40982172882225898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0.39392497298393803</v>
      </c>
    </row>
    <row r="10" spans="1:8" ht="15.75" customHeight="1" x14ac:dyDescent="0.25">
      <c r="B10" s="19" t="s">
        <v>85</v>
      </c>
      <c r="C10" s="101">
        <v>4.0697070100310678E-2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3.0100854799463211E-2</v>
      </c>
      <c r="D14" s="55">
        <v>3.0100854799463211E-2</v>
      </c>
      <c r="E14" s="55">
        <v>3.0100854799463211E-2</v>
      </c>
      <c r="F14" s="55">
        <v>3.0100854799463211E-2</v>
      </c>
    </row>
    <row r="15" spans="1:8" ht="15.75" customHeight="1" x14ac:dyDescent="0.25">
      <c r="B15" s="19" t="s">
        <v>88</v>
      </c>
      <c r="C15" s="101">
        <v>7.4836490071676878E-2</v>
      </c>
      <c r="D15" s="101">
        <v>7.4836490071676878E-2</v>
      </c>
      <c r="E15" s="101">
        <v>7.4836490071676878E-2</v>
      </c>
      <c r="F15" s="101">
        <v>7.4836490071676878E-2</v>
      </c>
    </row>
    <row r="16" spans="1:8" ht="15.75" customHeight="1" x14ac:dyDescent="0.25">
      <c r="B16" s="19" t="s">
        <v>89</v>
      </c>
      <c r="C16" s="101">
        <v>2.0367798948042939E-2</v>
      </c>
      <c r="D16" s="101">
        <v>2.0367798948042939E-2</v>
      </c>
      <c r="E16" s="101">
        <v>2.0367798948042939E-2</v>
      </c>
      <c r="F16" s="101">
        <v>2.0367798948042939E-2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2.1566323907605458E-3</v>
      </c>
      <c r="D19" s="101">
        <v>2.1566323907605458E-3</v>
      </c>
      <c r="E19" s="101">
        <v>2.1566323907605458E-3</v>
      </c>
      <c r="F19" s="101">
        <v>2.1566323907605458E-3</v>
      </c>
    </row>
    <row r="20" spans="1:8" ht="15.75" customHeight="1" x14ac:dyDescent="0.25">
      <c r="B20" s="19" t="s">
        <v>93</v>
      </c>
      <c r="C20" s="101">
        <v>0.14952667703961739</v>
      </c>
      <c r="D20" s="101">
        <v>0.14952667703961739</v>
      </c>
      <c r="E20" s="101">
        <v>0.14952667703961739</v>
      </c>
      <c r="F20" s="101">
        <v>0.14952667703961739</v>
      </c>
    </row>
    <row r="21" spans="1:8" ht="15.75" customHeight="1" x14ac:dyDescent="0.25">
      <c r="B21" s="19" t="s">
        <v>94</v>
      </c>
      <c r="C21" s="101">
        <v>9.6059007995162413E-2</v>
      </c>
      <c r="D21" s="101">
        <v>9.6059007995162413E-2</v>
      </c>
      <c r="E21" s="101">
        <v>9.6059007995162413E-2</v>
      </c>
      <c r="F21" s="101">
        <v>9.6059007995162413E-2</v>
      </c>
    </row>
    <row r="22" spans="1:8" ht="15.75" customHeight="1" x14ac:dyDescent="0.25">
      <c r="B22" s="19" t="s">
        <v>95</v>
      </c>
      <c r="C22" s="101">
        <v>0.62695253875527646</v>
      </c>
      <c r="D22" s="101">
        <v>0.62695253875527646</v>
      </c>
      <c r="E22" s="101">
        <v>0.62695253875527646</v>
      </c>
      <c r="F22" s="101">
        <v>0.62695253875527646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4.3847376999999993E-2</v>
      </c>
    </row>
    <row r="27" spans="1:8" ht="15.75" customHeight="1" x14ac:dyDescent="0.25">
      <c r="B27" s="19" t="s">
        <v>102</v>
      </c>
      <c r="C27" s="101">
        <v>3.4044087000000001E-2</v>
      </c>
    </row>
    <row r="28" spans="1:8" ht="15.75" customHeight="1" x14ac:dyDescent="0.25">
      <c r="B28" s="19" t="s">
        <v>103</v>
      </c>
      <c r="C28" s="101">
        <v>4.3283602999999997E-2</v>
      </c>
    </row>
    <row r="29" spans="1:8" ht="15.75" customHeight="1" x14ac:dyDescent="0.25">
      <c r="B29" s="19" t="s">
        <v>104</v>
      </c>
      <c r="C29" s="101">
        <v>0.177569167</v>
      </c>
    </row>
    <row r="30" spans="1:8" ht="15.75" customHeight="1" x14ac:dyDescent="0.25">
      <c r="B30" s="19" t="s">
        <v>2</v>
      </c>
      <c r="C30" s="101">
        <v>3.1893660999999997E-2</v>
      </c>
    </row>
    <row r="31" spans="1:8" ht="15.75" customHeight="1" x14ac:dyDescent="0.25">
      <c r="B31" s="19" t="s">
        <v>105</v>
      </c>
      <c r="C31" s="101">
        <v>9.3503550000000005E-2</v>
      </c>
    </row>
    <row r="32" spans="1:8" ht="15.75" customHeight="1" x14ac:dyDescent="0.25">
      <c r="B32" s="19" t="s">
        <v>106</v>
      </c>
      <c r="C32" s="101">
        <v>7.8392814000000005E-2</v>
      </c>
    </row>
    <row r="33" spans="2:3" ht="15.75" customHeight="1" x14ac:dyDescent="0.25">
      <c r="B33" s="19" t="s">
        <v>107</v>
      </c>
      <c r="C33" s="101">
        <v>0.15751110600000001</v>
      </c>
    </row>
    <row r="34" spans="2:3" ht="15.75" customHeight="1" x14ac:dyDescent="0.25">
      <c r="B34" s="19" t="s">
        <v>108</v>
      </c>
      <c r="C34" s="101">
        <v>0.33995463500000001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qlYZmwX8jyoro/6MJu4rfjDTZLN2zbiP3WKhQQJaB/aiSa4RGw71BAUVxIypplWxZwy9KjGAI6UIVL/ST8rkUw==" saltValue="khKB8jubu7Brd928eWGS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0.93833866148798106</v>
      </c>
      <c r="D2" s="52">
        <f>IFERROR(1-_xlfn.NORM.DIST(_xlfn.NORM.INV(SUM(D4:D5), 0, 1) + 1, 0, 1, TRUE), "")</f>
        <v>0.93833866148798106</v>
      </c>
      <c r="E2" s="52">
        <f>IFERROR(1-_xlfn.NORM.DIST(_xlfn.NORM.INV(SUM(E4:E5), 0, 1) + 1, 0, 1, TRUE), "")</f>
        <v>0.97657259788527084</v>
      </c>
      <c r="F2" s="52">
        <f>IFERROR(1-_xlfn.NORM.DIST(_xlfn.NORM.INV(SUM(F4:F5), 0, 1) + 1, 0, 1, TRUE), "")</f>
        <v>0.76771322469849701</v>
      </c>
      <c r="G2" s="52">
        <f>IFERROR(1-_xlfn.NORM.DIST(_xlfn.NORM.INV(SUM(G4:G5), 0, 1) + 1, 0, 1, TRUE), "")</f>
        <v>0.76772724821307881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5.6134159912018915E-2</v>
      </c>
      <c r="D3" s="52">
        <f>IFERROR(_xlfn.NORM.DIST(_xlfn.NORM.INV(SUM(D4:D5), 0, 1) + 1, 0, 1, TRUE) - SUM(D4:D5), "")</f>
        <v>5.6134159912018915E-2</v>
      </c>
      <c r="E3" s="52">
        <f>IFERROR(_xlfn.NORM.DIST(_xlfn.NORM.INV(SUM(E4:E5), 0, 1) + 1, 0, 1, TRUE) - SUM(E4:E5), "")</f>
        <v>2.2021563114729165E-2</v>
      </c>
      <c r="F3" s="52">
        <f>IFERROR(_xlfn.NORM.DIST(_xlfn.NORM.INV(SUM(F4:F5), 0, 1) + 1, 0, 1, TRUE) - SUM(F4:F5), "")</f>
        <v>0.19059090600150297</v>
      </c>
      <c r="G3" s="52">
        <f>IFERROR(_xlfn.NORM.DIST(_xlfn.NORM.INV(SUM(G4:G5), 0, 1) + 1, 0, 1, TRUE) - SUM(G4:G5), "")</f>
        <v>0.19058097588692124</v>
      </c>
    </row>
    <row r="4" spans="1:15" ht="15.75" customHeight="1" x14ac:dyDescent="0.25">
      <c r="B4" s="5" t="s">
        <v>114</v>
      </c>
      <c r="C4" s="45">
        <v>5.5271786E-3</v>
      </c>
      <c r="D4" s="53">
        <v>5.5271786E-3</v>
      </c>
      <c r="E4" s="53">
        <v>0</v>
      </c>
      <c r="F4" s="53">
        <v>3.6424096000000003E-2</v>
      </c>
      <c r="G4" s="53">
        <v>3.7740078000000003E-2</v>
      </c>
    </row>
    <row r="5" spans="1:15" ht="15.75" customHeight="1" x14ac:dyDescent="0.25">
      <c r="B5" s="5" t="s">
        <v>115</v>
      </c>
      <c r="C5" s="45">
        <v>0</v>
      </c>
      <c r="D5" s="53">
        <v>0</v>
      </c>
      <c r="E5" s="53">
        <v>1.4058390000000001E-3</v>
      </c>
      <c r="F5" s="53">
        <v>5.2717733000000001E-3</v>
      </c>
      <c r="G5" s="53">
        <v>3.9516979000000004E-3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0.86844633964209028</v>
      </c>
      <c r="D8" s="52">
        <f>IFERROR(1-_xlfn.NORM.DIST(_xlfn.NORM.INV(SUM(D10:D11), 0, 1) + 1, 0, 1, TRUE), "")</f>
        <v>0.86844633964209028</v>
      </c>
      <c r="E8" s="52">
        <f>IFERROR(1-_xlfn.NORM.DIST(_xlfn.NORM.INV(SUM(E10:E11), 0, 1) + 1, 0, 1, TRUE), "")</f>
        <v>0.94854441272980083</v>
      </c>
      <c r="F8" s="52">
        <f>IFERROR(1-_xlfn.NORM.DIST(_xlfn.NORM.INV(SUM(F10:F11), 0, 1) + 1, 0, 1, TRUE), "")</f>
        <v>0.83838131374153957</v>
      </c>
      <c r="G8" s="52">
        <f>IFERROR(1-_xlfn.NORM.DIST(_xlfn.NORM.INV(SUM(G10:G11), 0, 1) + 1, 0, 1, TRUE), "")</f>
        <v>0.85944405584287498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0.11451167735790969</v>
      </c>
      <c r="D9" s="52">
        <f>IFERROR(_xlfn.NORM.DIST(_xlfn.NORM.INV(SUM(D10:D11), 0, 1) + 1, 0, 1, TRUE) - SUM(D10:D11), "")</f>
        <v>0.11451167735790969</v>
      </c>
      <c r="E9" s="52">
        <f>IFERROR(_xlfn.NORM.DIST(_xlfn.NORM.INV(SUM(E10:E11), 0, 1) + 1, 0, 1, TRUE) - SUM(E10:E11), "")</f>
        <v>4.7197647470199125E-2</v>
      </c>
      <c r="F9" s="52">
        <f>IFERROR(_xlfn.NORM.DIST(_xlfn.NORM.INV(SUM(F10:F11), 0, 1) + 1, 0, 1, TRUE) - SUM(F10:F11), "")</f>
        <v>0.13820327405846045</v>
      </c>
      <c r="G9" s="52">
        <f>IFERROR(_xlfn.NORM.DIST(_xlfn.NORM.INV(SUM(G10:G11), 0, 1) + 1, 0, 1, TRUE) - SUM(G10:G11), "")</f>
        <v>0.12169320112712502</v>
      </c>
    </row>
    <row r="10" spans="1:15" ht="15.75" customHeight="1" x14ac:dyDescent="0.25">
      <c r="B10" s="5" t="s">
        <v>119</v>
      </c>
      <c r="C10" s="45">
        <v>1.5226834999999999E-2</v>
      </c>
      <c r="D10" s="53">
        <v>1.5226834999999999E-2</v>
      </c>
      <c r="E10" s="53">
        <v>4.2579397999999999E-3</v>
      </c>
      <c r="F10" s="53">
        <v>1.9031348999999999E-2</v>
      </c>
      <c r="G10" s="53">
        <v>1.8356117000000002E-2</v>
      </c>
    </row>
    <row r="11" spans="1:15" ht="15.75" customHeight="1" x14ac:dyDescent="0.25">
      <c r="B11" s="5" t="s">
        <v>120</v>
      </c>
      <c r="C11" s="45">
        <v>1.8151479999999999E-3</v>
      </c>
      <c r="D11" s="53">
        <v>1.8151479999999999E-3</v>
      </c>
      <c r="E11" s="53">
        <v>0</v>
      </c>
      <c r="F11" s="53">
        <v>4.3840631999999997E-3</v>
      </c>
      <c r="G11" s="53">
        <v>5.0662603000000003E-4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0.11872693625</v>
      </c>
      <c r="D14" s="54">
        <v>0.10841147821200001</v>
      </c>
      <c r="E14" s="54">
        <v>0.10841147821200001</v>
      </c>
      <c r="F14" s="54">
        <v>0.15067343412</v>
      </c>
      <c r="G14" s="54">
        <v>0.15067343412</v>
      </c>
      <c r="H14" s="45">
        <v>0.247</v>
      </c>
      <c r="I14" s="55">
        <v>0.247</v>
      </c>
      <c r="J14" s="55">
        <v>0.247</v>
      </c>
      <c r="K14" s="55">
        <v>0.247</v>
      </c>
      <c r="L14" s="45">
        <v>0.14599999999999999</v>
      </c>
      <c r="M14" s="55">
        <v>0.14599999999999999</v>
      </c>
      <c r="N14" s="55">
        <v>0.14599999999999999</v>
      </c>
      <c r="O14" s="55">
        <v>0.14599999999999999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6.5078270474457495E-2</v>
      </c>
      <c r="D15" s="52">
        <f t="shared" si="0"/>
        <v>5.9424017198256414E-2</v>
      </c>
      <c r="E15" s="52">
        <f t="shared" si="0"/>
        <v>5.9424017198256414E-2</v>
      </c>
      <c r="F15" s="52">
        <f t="shared" si="0"/>
        <v>8.2589232137932081E-2</v>
      </c>
      <c r="G15" s="52">
        <f t="shared" si="0"/>
        <v>8.2589232137932081E-2</v>
      </c>
      <c r="H15" s="52">
        <f t="shared" si="0"/>
        <v>0.13538909800000001</v>
      </c>
      <c r="I15" s="52">
        <f t="shared" si="0"/>
        <v>0.13538909800000001</v>
      </c>
      <c r="J15" s="52">
        <f t="shared" si="0"/>
        <v>0.13538909800000001</v>
      </c>
      <c r="K15" s="52">
        <f t="shared" si="0"/>
        <v>0.13538909800000001</v>
      </c>
      <c r="L15" s="52">
        <f t="shared" si="0"/>
        <v>8.0027563999999995E-2</v>
      </c>
      <c r="M15" s="52">
        <f t="shared" si="0"/>
        <v>8.0027563999999995E-2</v>
      </c>
      <c r="N15" s="52">
        <f t="shared" si="0"/>
        <v>8.0027563999999995E-2</v>
      </c>
      <c r="O15" s="52">
        <f t="shared" si="0"/>
        <v>8.0027563999999995E-2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+ShiJzDB+FTlesubhUEzUaopiSBJuLD9bwHs0qzlknCby0OjbApzjThkLXISFeCH97iAQdHNfy9laDKyW+OrQ==" saltValue="+xiruRBZ2KnoVlko5x1s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0.43854946140000001</v>
      </c>
      <c r="D2" s="53">
        <v>0.22471399</v>
      </c>
      <c r="E2" s="53"/>
      <c r="F2" s="53"/>
      <c r="G2" s="53"/>
    </row>
    <row r="3" spans="1:7" x14ac:dyDescent="0.25">
      <c r="B3" s="3" t="s">
        <v>130</v>
      </c>
      <c r="C3" s="53">
        <v>8.4647979999999998E-2</v>
      </c>
      <c r="D3" s="53">
        <v>0.14546853000000001</v>
      </c>
      <c r="E3" s="53"/>
      <c r="F3" s="53"/>
      <c r="G3" s="53"/>
    </row>
    <row r="4" spans="1:7" x14ac:dyDescent="0.25">
      <c r="B4" s="3" t="s">
        <v>131</v>
      </c>
      <c r="C4" s="53">
        <v>0.37770904999999999</v>
      </c>
      <c r="D4" s="53">
        <v>0.45987926000000001</v>
      </c>
      <c r="E4" s="53">
        <v>0.68089199066162098</v>
      </c>
      <c r="F4" s="53">
        <v>0.39779895544052102</v>
      </c>
      <c r="G4" s="53"/>
    </row>
    <row r="5" spans="1:7" x14ac:dyDescent="0.25">
      <c r="B5" s="3" t="s">
        <v>132</v>
      </c>
      <c r="C5" s="52">
        <v>9.9093484879999985E-2</v>
      </c>
      <c r="D5" s="52">
        <v>0.16993823999999999</v>
      </c>
      <c r="E5" s="52">
        <f>1-SUM(E2:E4)</f>
        <v>0.31910800933837902</v>
      </c>
      <c r="F5" s="52">
        <f>1-SUM(F2:F4)</f>
        <v>0.60220104455947898</v>
      </c>
      <c r="G5" s="52">
        <f>1-SUM(G2:G4)</f>
        <v>1</v>
      </c>
    </row>
  </sheetData>
  <sheetProtection algorithmName="SHA-512" hashValue="QhynAokyGf3PTK+5pLYzJOBz9jsuRhd5YWIfSujZWVdpsHoih/MGHplU/SsGvHqoCZQ8A7IA5u3aYzuGQzNzwg==" saltValue="SaZPlXBk5iEF0hNWnekFG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+lXvbwIccqLgmDWpiLwTS9PeNeh4BfmX1lA7C/a8+Ja7flFHdyKhMxQ7V4gm0M8Wpo3K/juO781k/9WvxayvVA==" saltValue="thIuBdqWmIwJHq1Md7P9z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6FADFHI02KmAcOxIfMyqPKFKy6GRl6FPKdMS1szwI0nV7g2lW6lYvUcgmC1ItI2izCAgZHGWv/MmTwAbjTP6uQ==" saltValue="2S51Z9XlF0a1ss9Z30WmP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i9E4g3f2TKkrHor7E7AnHdJXe3dIkH50R9H5OzM+eSG/Wz+fTihWz+6hs+e8XQycyg2joUH8DYXVjKhHxWtUHg==" saltValue="fBo17lLnNGG2h8JSZpxe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aKymlRbDUS+5r2RJff8Js+wVn4wCIKuC1mTUbAz8LrmZng8tWyoZB+GYauJ1fppQhTz4CSIrKgqN0gTnkuUWA==" saltValue="HrIqbOaHZ8A09Wcsk1O1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2024-03-18T01:29:32Z</dcterms:modified>
</cp:coreProperties>
</file>