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C7F2AAC2-F1AF-47AC-BCA2-A604FC90BD8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H38" i="2"/>
  <c r="I38" i="2" s="1"/>
  <c r="G38" i="2"/>
  <c r="A38" i="2"/>
  <c r="A37" i="2"/>
  <c r="A35" i="2"/>
  <c r="A27" i="2"/>
  <c r="A26" i="2"/>
  <c r="A25" i="2"/>
  <c r="A17" i="2"/>
  <c r="A16" i="2"/>
  <c r="A14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H3" i="2"/>
  <c r="I3" i="2" s="1"/>
  <c r="G3" i="2"/>
  <c r="H2" i="2"/>
  <c r="G2" i="2"/>
  <c r="A2" i="2"/>
  <c r="A31" i="2" s="1"/>
  <c r="C33" i="1"/>
  <c r="C20" i="1"/>
  <c r="I4" i="2" l="1"/>
  <c r="A18" i="2"/>
  <c r="A29" i="2"/>
  <c r="A30" i="2"/>
  <c r="A19" i="2"/>
  <c r="I2" i="2"/>
  <c r="A21" i="2"/>
  <c r="A32" i="2"/>
  <c r="A39" i="2"/>
  <c r="A22" i="2"/>
  <c r="A33" i="2"/>
  <c r="I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<sst xmlns="http://schemas.openxmlformats.org/spreadsheetml/2006/main" count="2092" uniqueCount="337">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</sst>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17993008.75</v>
      </c>
    </row>
    <row r="8" spans="1:3" ht="15" customHeight="1" x14ac:dyDescent="0.25">
      <c r="B8" s="5" t="s">
        <v>19</v>
      </c>
      <c r="C8" s="44">
        <v>0.308</v>
      </c>
    </row>
    <row r="9" spans="1:3" ht="15" customHeight="1" x14ac:dyDescent="0.25">
      <c r="B9" s="5" t="s">
        <v>20</v>
      </c>
      <c r="C9" s="45">
        <v>0.14000000000000001</v>
      </c>
    </row>
    <row r="10" spans="1:3" ht="15" customHeight="1" x14ac:dyDescent="0.25">
      <c r="B10" s="5" t="s">
        <v>21</v>
      </c>
      <c r="C10" s="45">
        <v>0.30406169891357399</v>
      </c>
    </row>
    <row r="11" spans="1:3" ht="15" customHeight="1" x14ac:dyDescent="0.25">
      <c r="B11" s="5" t="s">
        <v>22</v>
      </c>
      <c r="C11" s="45">
        <v>0.318</v>
      </c>
    </row>
    <row r="12" spans="1:3" ht="15" customHeight="1" x14ac:dyDescent="0.25">
      <c r="B12" s="5" t="s">
        <v>23</v>
      </c>
      <c r="C12" s="45">
        <v>0.313</v>
      </c>
    </row>
    <row r="13" spans="1:3" ht="15" customHeight="1" x14ac:dyDescent="0.25">
      <c r="B13" s="5" t="s">
        <v>24</v>
      </c>
      <c r="C13" s="45">
        <v>0.40600000000000003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8.4900000000000003E-2</v>
      </c>
    </row>
    <row r="24" spans="1:3" ht="15" customHeight="1" x14ac:dyDescent="0.25">
      <c r="B24" s="15" t="s">
        <v>33</v>
      </c>
      <c r="C24" s="45">
        <v>0.46400000000000002</v>
      </c>
    </row>
    <row r="25" spans="1:3" ht="15" customHeight="1" x14ac:dyDescent="0.25">
      <c r="B25" s="15" t="s">
        <v>34</v>
      </c>
      <c r="C25" s="45">
        <v>0.35129999999999989</v>
      </c>
    </row>
    <row r="26" spans="1:3" ht="15" customHeight="1" x14ac:dyDescent="0.25">
      <c r="B26" s="15" t="s">
        <v>35</v>
      </c>
      <c r="C26" s="45">
        <v>9.98E-2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0.18812535880376199</v>
      </c>
    </row>
    <row r="30" spans="1:3" ht="14.25" customHeight="1" x14ac:dyDescent="0.25">
      <c r="B30" s="25" t="s">
        <v>38</v>
      </c>
      <c r="C30" s="99">
        <v>7.52921476815058E-2</v>
      </c>
    </row>
    <row r="31" spans="1:3" ht="14.25" customHeight="1" x14ac:dyDescent="0.25">
      <c r="B31" s="25" t="s">
        <v>39</v>
      </c>
      <c r="C31" s="99">
        <v>0.100306822402006</v>
      </c>
    </row>
    <row r="32" spans="1:3" ht="14.25" customHeight="1" x14ac:dyDescent="0.25">
      <c r="B32" s="25" t="s">
        <v>40</v>
      </c>
      <c r="C32" s="99">
        <v>0.63627567111272598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27.621025084636901</v>
      </c>
    </row>
    <row r="38" spans="1:5" ht="15" customHeight="1" x14ac:dyDescent="0.25">
      <c r="B38" s="11" t="s">
        <v>45</v>
      </c>
      <c r="C38" s="43">
        <v>36.549012265390999</v>
      </c>
      <c r="D38" s="12"/>
      <c r="E38" s="13"/>
    </row>
    <row r="39" spans="1:5" ht="15" customHeight="1" x14ac:dyDescent="0.25">
      <c r="B39" s="11" t="s">
        <v>46</v>
      </c>
      <c r="C39" s="43">
        <v>50.735712442090602</v>
      </c>
      <c r="D39" s="12"/>
      <c r="E39" s="12"/>
    </row>
    <row r="40" spans="1:5" ht="15" customHeight="1" x14ac:dyDescent="0.25">
      <c r="B40" s="11" t="s">
        <v>47</v>
      </c>
      <c r="C40" s="100">
        <v>4.01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24.614252669999999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0</v>
      </c>
      <c r="D45" s="12"/>
    </row>
    <row r="46" spans="1:5" ht="15.75" customHeight="1" x14ac:dyDescent="0.25">
      <c r="B46" s="11" t="s">
        <v>52</v>
      </c>
      <c r="C46" s="45">
        <v>9.6231899999999995E-2</v>
      </c>
      <c r="D46" s="12"/>
    </row>
    <row r="47" spans="1:5" ht="15.75" customHeight="1" x14ac:dyDescent="0.25">
      <c r="B47" s="11" t="s">
        <v>53</v>
      </c>
      <c r="C47" s="45">
        <v>0.1543609</v>
      </c>
      <c r="D47" s="12"/>
      <c r="E47" s="13"/>
    </row>
    <row r="48" spans="1:5" ht="15" customHeight="1" x14ac:dyDescent="0.25">
      <c r="B48" s="11" t="s">
        <v>54</v>
      </c>
      <c r="C48" s="46">
        <v>0.74940719999999994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0.56030799999999992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jE3piixEPm0XHJkeonawswneFOzPbtkcd4cSz45OMIqz1LV2yHhdMgzgezktxDXmD0JGsuYDA+rr1oiReZ8Odg==" saltValue="zMlwHnbg3dt9G+PrYW0j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0.26920826853857499</v>
      </c>
      <c r="C2" s="98">
        <v>0.95</v>
      </c>
      <c r="D2" s="56">
        <v>36.104865630041672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47.391762786682577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70.675747512215978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0.1529754384232421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15.05101211717766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15.05101211717766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15.05101211717766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15.05101211717766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15.05101211717766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15.05101211717766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0.46516892867994802</v>
      </c>
      <c r="C16" s="98">
        <v>0.95</v>
      </c>
      <c r="D16" s="56">
        <v>0.25353452797983911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0.93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1.7327840647821271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1.7327840647821271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0.3690458298</v>
      </c>
      <c r="C21" s="98">
        <v>0.95</v>
      </c>
      <c r="D21" s="56">
        <v>1.648928588690538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25.652464004019169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1.0999999999999999E-2</v>
      </c>
      <c r="C23" s="98">
        <v>0.95</v>
      </c>
      <c r="D23" s="56">
        <v>4.9325180741630454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0.36223946720887501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0.27192325121491401</v>
      </c>
      <c r="C27" s="98">
        <v>0.95</v>
      </c>
      <c r="D27" s="56">
        <v>21.746117356862921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0.29529529999999998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63.608546888725961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0.1201</v>
      </c>
      <c r="C31" s="98">
        <v>0.95</v>
      </c>
      <c r="D31" s="56">
        <v>2.179529460069769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0.56024585999999998</v>
      </c>
      <c r="C32" s="98">
        <v>0.95</v>
      </c>
      <c r="D32" s="56">
        <v>0.48159678577230752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7.3163328954350099E-2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0.332870572805405</v>
      </c>
      <c r="C38" s="98">
        <v>0.95</v>
      </c>
      <c r="D38" s="56">
        <v>3.993553334710461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0.13494430539999999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KWj9YsneRw7RuZ9HIY5L5Z8HFAWl22ugbemEUNoonws1mph6yDsDwQtAzTQW+VAIsqiKw6Qs630EyVbvkAa+vg==" saltValue="k3EsSOtJWZY66cvUcNdEy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tGcv8NL/9EV0Sd3RhhsZn5GtgtCeHc1T9IXl7uIuOqqQ+Vw/6i50jfofzZSBzcii5MZAszLhE5z5oZqPdPiMYw==" saltValue="rcpQj6Vlg7auADYRABW9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O6R4HR0HtVAIyqOoHNG7urv4HAyZJ3g667T/wb3qFccwU0LEPwpuqjXj0k5mv413dGQU2L64t+mmiZYFRCxU1g==" saltValue="Ir7avWbKyzGY3eCXfmIyt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0.21583315780000004</v>
      </c>
      <c r="C3" s="21">
        <f>frac_mam_1_5months * 2.6</f>
        <v>0.21583315780000004</v>
      </c>
      <c r="D3" s="21">
        <f>frac_mam_6_11months * 2.6</f>
        <v>0.14125982520000002</v>
      </c>
      <c r="E3" s="21">
        <f>frac_mam_12_23months * 2.6</f>
        <v>0.17237377820000002</v>
      </c>
      <c r="F3" s="21">
        <f>frac_mam_24_59months * 2.6</f>
        <v>0.14118899600000001</v>
      </c>
    </row>
    <row r="4" spans="1:6" ht="15.75" customHeight="1" x14ac:dyDescent="0.25">
      <c r="A4" s="3" t="s">
        <v>208</v>
      </c>
      <c r="B4" s="21">
        <f>frac_sam_1month * 2.6</f>
        <v>3.0770805000000002E-2</v>
      </c>
      <c r="C4" s="21">
        <f>frac_sam_1_5months * 2.6</f>
        <v>3.0770805000000002E-2</v>
      </c>
      <c r="D4" s="21">
        <f>frac_sam_6_11months * 2.6</f>
        <v>2.2130773340000003E-2</v>
      </c>
      <c r="E4" s="21">
        <f>frac_sam_12_23months * 2.6</f>
        <v>3.45772648E-2</v>
      </c>
      <c r="F4" s="21">
        <f>frac_sam_24_59months * 2.6</f>
        <v>3.1989497800000002E-2</v>
      </c>
    </row>
  </sheetData>
  <sheetProtection algorithmName="SHA-512" hashValue="X6a0oHuCzQxHWfNtuznpsz2mpts33Kt7Dq1Zc8+X1iHgSY3A0pCh486YyPwUmKf/XTGb73h6/F03mecqU2HbGQ==" saltValue="xeaf8/nUalUvptdRo0Xt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0.308</v>
      </c>
      <c r="E2" s="60">
        <f>food_insecure</f>
        <v>0.308</v>
      </c>
      <c r="F2" s="60">
        <f>food_insecure</f>
        <v>0.308</v>
      </c>
      <c r="G2" s="60">
        <f>food_insecure</f>
        <v>0.308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0.308</v>
      </c>
      <c r="F5" s="60">
        <f>food_insecure</f>
        <v>0.308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0.308</v>
      </c>
      <c r="F8" s="60">
        <f>food_insecure</f>
        <v>0.308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0.308</v>
      </c>
      <c r="F9" s="60">
        <f>food_insecure</f>
        <v>0.308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0.313</v>
      </c>
      <c r="E10" s="60">
        <f>IF(ISBLANK(comm_deliv), frac_children_health_facility,1)</f>
        <v>0.313</v>
      </c>
      <c r="F10" s="60">
        <f>IF(ISBLANK(comm_deliv), frac_children_health_facility,1)</f>
        <v>0.313</v>
      </c>
      <c r="G10" s="60">
        <f>IF(ISBLANK(comm_deliv), frac_children_health_facility,1)</f>
        <v>0.313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0.308</v>
      </c>
      <c r="I15" s="60">
        <f>food_insecure</f>
        <v>0.308</v>
      </c>
      <c r="J15" s="60">
        <f>food_insecure</f>
        <v>0.308</v>
      </c>
      <c r="K15" s="60">
        <f>food_insecure</f>
        <v>0.308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0.318</v>
      </c>
      <c r="I18" s="60">
        <f>frac_PW_health_facility</f>
        <v>0.318</v>
      </c>
      <c r="J18" s="60">
        <f>frac_PW_health_facility</f>
        <v>0.318</v>
      </c>
      <c r="K18" s="60">
        <f>frac_PW_health_facility</f>
        <v>0.318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0.14000000000000001</v>
      </c>
      <c r="I19" s="60">
        <f>frac_malaria_risk</f>
        <v>0.14000000000000001</v>
      </c>
      <c r="J19" s="60">
        <f>frac_malaria_risk</f>
        <v>0.14000000000000001</v>
      </c>
      <c r="K19" s="60">
        <f>frac_malaria_risk</f>
        <v>0.14000000000000001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0.40600000000000003</v>
      </c>
      <c r="M24" s="60">
        <f>famplan_unmet_need</f>
        <v>0.40600000000000003</v>
      </c>
      <c r="N24" s="60">
        <f>famplan_unmet_need</f>
        <v>0.40600000000000003</v>
      </c>
      <c r="O24" s="60">
        <f>famplan_unmet_need</f>
        <v>0.40600000000000003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0.38602305684661875</v>
      </c>
      <c r="M25" s="60">
        <f>(1-food_insecure)*(0.49)+food_insecure*(0.7)</f>
        <v>0.55467999999999995</v>
      </c>
      <c r="N25" s="60">
        <f>(1-food_insecure)*(0.49)+food_insecure*(0.7)</f>
        <v>0.55467999999999995</v>
      </c>
      <c r="O25" s="60">
        <f>(1-food_insecure)*(0.49)+food_insecure*(0.7)</f>
        <v>0.55467999999999995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0.16543845293426518</v>
      </c>
      <c r="M26" s="60">
        <f>(1-food_insecure)*(0.21)+food_insecure*(0.3)</f>
        <v>0.23771999999999999</v>
      </c>
      <c r="N26" s="60">
        <f>(1-food_insecure)*(0.21)+food_insecure*(0.3)</f>
        <v>0.23771999999999999</v>
      </c>
      <c r="O26" s="60">
        <f>(1-food_insecure)*(0.21)+food_insecure*(0.3)</f>
        <v>0.23771999999999999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0.144476791305542</v>
      </c>
      <c r="M27" s="60">
        <f>(1-food_insecure)*(0.3)</f>
        <v>0.20759999999999998</v>
      </c>
      <c r="N27" s="60">
        <f>(1-food_insecure)*(0.3)</f>
        <v>0.20759999999999998</v>
      </c>
      <c r="O27" s="60">
        <f>(1-food_insecure)*(0.3)</f>
        <v>0.20759999999999998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0.30406169891357393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0.14000000000000001</v>
      </c>
      <c r="D34" s="60">
        <f t="shared" si="3"/>
        <v>0.14000000000000001</v>
      </c>
      <c r="E34" s="60">
        <f t="shared" si="3"/>
        <v>0.14000000000000001</v>
      </c>
      <c r="F34" s="60">
        <f t="shared" si="3"/>
        <v>0.14000000000000001</v>
      </c>
      <c r="G34" s="60">
        <f t="shared" si="3"/>
        <v>0.14000000000000001</v>
      </c>
      <c r="H34" s="60">
        <f t="shared" si="3"/>
        <v>0.14000000000000001</v>
      </c>
      <c r="I34" s="60">
        <f t="shared" si="3"/>
        <v>0.14000000000000001</v>
      </c>
      <c r="J34" s="60">
        <f t="shared" si="3"/>
        <v>0.14000000000000001</v>
      </c>
      <c r="K34" s="60">
        <f t="shared" si="3"/>
        <v>0.14000000000000001</v>
      </c>
      <c r="L34" s="60">
        <f t="shared" si="3"/>
        <v>0.14000000000000001</v>
      </c>
      <c r="M34" s="60">
        <f t="shared" si="3"/>
        <v>0.14000000000000001</v>
      </c>
      <c r="N34" s="60">
        <f t="shared" si="3"/>
        <v>0.14000000000000001</v>
      </c>
      <c r="O34" s="60">
        <f t="shared" si="3"/>
        <v>0.14000000000000001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ZKG1TS4LHt8H91eeqlp2tFJniUiwWIAvREM5Qcpyi/scOLFTVckSNwx3FGAbQSJMIu08DyavOBABHBy/UXx4g==" saltValue="PYQ2pWaYbZsPg2S098rc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x9G7pWIMCdzRVzBZb8z9F1+bSqtgndGBReoINcnfKOHBxsnzFsckGvRJqJuLdvyRBtZwkXzo2F9SHwS8t+ZGA==" saltValue="yXOHEfvAA7VbCKlqfOgc2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nNNvJm33E0pcehTiFJIGll2hpmlwTtff8qi8OT+yoXAx0x3RFPrz9PB6D5gP7Ktl3bMkI3mvA8rk+7F+Da0Dw==" saltValue="bVoHh8M9f0c9fv3IZAwwh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mnXUQUxU5nFwXkbaT8dj3fqFJZ4u+h+evbrgDQAbLdNjMVNBlt/R9O4DO861iDYM3efoaZh45rwoGuKcoFETnA==" saltValue="e18lO4GyLRSLWsVSGVRr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MKD/EyyEkygWkzdMBmN7K3NQC4bq9KiShJS6kUvjuBBo/V9xHlLQCqbPPyqZDVtbcp3F+9auuV0hglwDkKvOkA==" saltValue="nuwmn2qoxl4aoNAH+cJqI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K8nIZx57DQlVJMSwWmAlusmTMureLKfKjUjZOMgDHcjEWKIqHrtDRj3MC3UHcRh1GsN3VvgFxpLoBeQ2SdeXQ==" saltValue="GivXIB4puu2dUNo3o6yP0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3368452.0057999999</v>
      </c>
      <c r="C2" s="49">
        <v>6453000</v>
      </c>
      <c r="D2" s="49">
        <v>10897000</v>
      </c>
      <c r="E2" s="49">
        <v>7288000</v>
      </c>
      <c r="F2" s="49">
        <v>4715000</v>
      </c>
      <c r="G2" s="17">
        <f t="shared" ref="G2:G11" si="0">C2+D2+E2+F2</f>
        <v>29353000</v>
      </c>
      <c r="H2" s="17">
        <f t="shared" ref="H2:H11" si="1">(B2 + stillbirth*B2/(1000-stillbirth))/(1-abortion)</f>
        <v>3924382.1028812169</v>
      </c>
      <c r="I2" s="17">
        <f t="shared" ref="I2:I11" si="2">G2-H2</f>
        <v>25428617.897118784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3385655.5529999998</v>
      </c>
      <c r="C3" s="50">
        <v>6502000</v>
      </c>
      <c r="D3" s="50">
        <v>11233000</v>
      </c>
      <c r="E3" s="50">
        <v>7550000</v>
      </c>
      <c r="F3" s="50">
        <v>4925000</v>
      </c>
      <c r="G3" s="17">
        <f t="shared" si="0"/>
        <v>30210000</v>
      </c>
      <c r="H3" s="17">
        <f t="shared" si="1"/>
        <v>3944424.927484775</v>
      </c>
      <c r="I3" s="17">
        <f t="shared" si="2"/>
        <v>26265575.072515227</v>
      </c>
    </row>
    <row r="4" spans="1:9" ht="15.75" customHeight="1" x14ac:dyDescent="0.25">
      <c r="A4" s="5">
        <f t="shared" si="3"/>
        <v>2023</v>
      </c>
      <c r="B4" s="49">
        <v>3400525.3758</v>
      </c>
      <c r="C4" s="50">
        <v>6544000</v>
      </c>
      <c r="D4" s="50">
        <v>11544000</v>
      </c>
      <c r="E4" s="50">
        <v>7824000</v>
      </c>
      <c r="F4" s="50">
        <v>5149000</v>
      </c>
      <c r="G4" s="17">
        <f t="shared" si="0"/>
        <v>31061000</v>
      </c>
      <c r="H4" s="17">
        <f t="shared" si="1"/>
        <v>3961748.8692743136</v>
      </c>
      <c r="I4" s="17">
        <f t="shared" si="2"/>
        <v>27099251.130725686</v>
      </c>
    </row>
    <row r="5" spans="1:9" ht="15.75" customHeight="1" x14ac:dyDescent="0.25">
      <c r="A5" s="5">
        <f t="shared" si="3"/>
        <v>2024</v>
      </c>
      <c r="B5" s="49">
        <v>3412956.9992</v>
      </c>
      <c r="C5" s="50">
        <v>6594000</v>
      </c>
      <c r="D5" s="50">
        <v>11826000</v>
      </c>
      <c r="E5" s="50">
        <v>8122000</v>
      </c>
      <c r="F5" s="50">
        <v>5377000</v>
      </c>
      <c r="G5" s="17">
        <f t="shared" si="0"/>
        <v>31919000</v>
      </c>
      <c r="H5" s="17">
        <f t="shared" si="1"/>
        <v>3976232.2106717024</v>
      </c>
      <c r="I5" s="17">
        <f t="shared" si="2"/>
        <v>27942767.789328299</v>
      </c>
    </row>
    <row r="6" spans="1:9" ht="15.75" customHeight="1" x14ac:dyDescent="0.25">
      <c r="A6" s="5">
        <f t="shared" si="3"/>
        <v>2025</v>
      </c>
      <c r="B6" s="49">
        <v>3422797.8190000001</v>
      </c>
      <c r="C6" s="50">
        <v>6660000</v>
      </c>
      <c r="D6" s="50">
        <v>12076000</v>
      </c>
      <c r="E6" s="50">
        <v>8450000</v>
      </c>
      <c r="F6" s="50">
        <v>5604000</v>
      </c>
      <c r="G6" s="17">
        <f t="shared" si="0"/>
        <v>32790000</v>
      </c>
      <c r="H6" s="17">
        <f t="shared" si="1"/>
        <v>3987697.161644524</v>
      </c>
      <c r="I6" s="17">
        <f t="shared" si="2"/>
        <v>28802302.838355474</v>
      </c>
    </row>
    <row r="7" spans="1:9" ht="15.75" customHeight="1" x14ac:dyDescent="0.25">
      <c r="A7" s="5">
        <f t="shared" si="3"/>
        <v>2026</v>
      </c>
      <c r="B7" s="49">
        <v>3434184.8256000001</v>
      </c>
      <c r="C7" s="50">
        <v>6741000</v>
      </c>
      <c r="D7" s="50">
        <v>12290000</v>
      </c>
      <c r="E7" s="50">
        <v>8801000</v>
      </c>
      <c r="F7" s="50">
        <v>5829000</v>
      </c>
      <c r="G7" s="17">
        <f t="shared" si="0"/>
        <v>33661000</v>
      </c>
      <c r="H7" s="17">
        <f t="shared" si="1"/>
        <v>4000963.4824439548</v>
      </c>
      <c r="I7" s="17">
        <f t="shared" si="2"/>
        <v>29660036.517556045</v>
      </c>
    </row>
    <row r="8" spans="1:9" ht="15.75" customHeight="1" x14ac:dyDescent="0.25">
      <c r="A8" s="5">
        <f t="shared" si="3"/>
        <v>2027</v>
      </c>
      <c r="B8" s="49">
        <v>3443062.3292</v>
      </c>
      <c r="C8" s="50">
        <v>6841000</v>
      </c>
      <c r="D8" s="50">
        <v>12471000</v>
      </c>
      <c r="E8" s="50">
        <v>9179000</v>
      </c>
      <c r="F8" s="50">
        <v>6057000</v>
      </c>
      <c r="G8" s="17">
        <f t="shared" si="0"/>
        <v>34548000</v>
      </c>
      <c r="H8" s="17">
        <f t="shared" si="1"/>
        <v>4011306.131288622</v>
      </c>
      <c r="I8" s="17">
        <f t="shared" si="2"/>
        <v>30536693.868711378</v>
      </c>
    </row>
    <row r="9" spans="1:9" ht="15.75" customHeight="1" x14ac:dyDescent="0.25">
      <c r="A9" s="5">
        <f t="shared" si="3"/>
        <v>2028</v>
      </c>
      <c r="B9" s="49">
        <v>3449374.6124</v>
      </c>
      <c r="C9" s="50">
        <v>6951000</v>
      </c>
      <c r="D9" s="50">
        <v>12627000</v>
      </c>
      <c r="E9" s="50">
        <v>9571000</v>
      </c>
      <c r="F9" s="50">
        <v>6288000</v>
      </c>
      <c r="G9" s="17">
        <f t="shared" si="0"/>
        <v>35437000</v>
      </c>
      <c r="H9" s="17">
        <f t="shared" si="1"/>
        <v>4018660.1951659592</v>
      </c>
      <c r="I9" s="17">
        <f t="shared" si="2"/>
        <v>31418339.804834042</v>
      </c>
    </row>
    <row r="10" spans="1:9" ht="15.75" customHeight="1" x14ac:dyDescent="0.25">
      <c r="A10" s="5">
        <f t="shared" si="3"/>
        <v>2029</v>
      </c>
      <c r="B10" s="49">
        <v>3453095.0159999989</v>
      </c>
      <c r="C10" s="50">
        <v>7061000</v>
      </c>
      <c r="D10" s="50">
        <v>12774000</v>
      </c>
      <c r="E10" s="50">
        <v>9959000</v>
      </c>
      <c r="F10" s="50">
        <v>6525000</v>
      </c>
      <c r="G10" s="17">
        <f t="shared" si="0"/>
        <v>36319000</v>
      </c>
      <c r="H10" s="17">
        <f t="shared" si="1"/>
        <v>4022994.6150354394</v>
      </c>
      <c r="I10" s="17">
        <f t="shared" si="2"/>
        <v>32296005.384964559</v>
      </c>
    </row>
    <row r="11" spans="1:9" ht="15.75" customHeight="1" x14ac:dyDescent="0.25">
      <c r="A11" s="5">
        <f t="shared" si="3"/>
        <v>2030</v>
      </c>
      <c r="B11" s="49">
        <v>3454198.8</v>
      </c>
      <c r="C11" s="50">
        <v>7164000</v>
      </c>
      <c r="D11" s="50">
        <v>12922000</v>
      </c>
      <c r="E11" s="50">
        <v>10330000</v>
      </c>
      <c r="F11" s="50">
        <v>6772000</v>
      </c>
      <c r="G11" s="17">
        <f t="shared" si="0"/>
        <v>37188000</v>
      </c>
      <c r="H11" s="17">
        <f t="shared" si="1"/>
        <v>4024280.5678017521</v>
      </c>
      <c r="I11" s="17">
        <f t="shared" si="2"/>
        <v>33163719.432198249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EveJUlZeOWWZK90PHMPuCaAxqZ+Z/61wLvj3pbYMqu9KiS9E3mc8QWmYoNCwzQQZwSmLgUuemqBMHg8Q5HFRA==" saltValue="ecm2kn2fh+qpwqEnuxqe0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5.4438639770565089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5.4438639770565089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2.5916499681864882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2.5916499681864882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93.052104168838625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93.052104168838625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OnFLCXhprkOZRTs+pPtnKsD8pxp0Qhm68/WHJw0mxnYFMY/8qfbExmZwlVG1PssTncT/VeDmVoff/UVW1bccA==" saltValue="xp2LLPx7FacL5tdem1VH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nquXe2c8xJr6fbXWWHHQ9nXvPCkfaOIxeY1lmMZ9hpp7ujNMv1NIjCYEfI/41AUr6Ql7WbeP7I1ymRdBTepMHg==" saltValue="LdTBXwBCiEZcynket93h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m7f5GO9iWDJYrB49EthXywg8HOI28ZB8aQvaMO0BxQbFG20thG46LxX/hEct6FPmGONucpXZSD3FGrInnRBlYA==" saltValue="LxHIt6C8dFgD7OBnmtUR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0.56198729313223428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0.54437232165648064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0.83132169619856189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0.84108153565351818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0.83132169619856189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0.36186125043713074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0.34557014583418272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0.8035242307095336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0.79202817582752272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0.8035242307095336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0.79202817582752272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0.89246915430525542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0.8854353687054598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0.87947862134865251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0.87171724172857423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0.87947862134865251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0.87171724172857423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cPB3K+f60xUBwrtcRc33ZkG4HEuTxS6lu2dYKXTz77jzIiAnIX9cFLpoovbjw/8pm/fnDHzBPIWaCwemoMt1Mw==" saltValue="zQjYNDvwuZuxvL/iQci5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75pRmM07/oln8tu96l0GW49i+iSI3lEExiGMsIQQkF59SqOgg0TdaTbEUqiWblIjRRvKYudmKTYUieGL/+y6Nw==" saltValue="/tDBJMnhvgpKCjYJezg4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0.20416734205547571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0.49100237161435856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0.49100237161435856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0.66062251527198679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0.66062251527198679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0.66062251527198679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0.66062251527198679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0.66355858886859564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0.66355858886859564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0.66355858886859564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0.66355858886859564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0.28523993269395775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0.60008957544266717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0.60008957544266717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0.75173783515392267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0.75173783515392267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0.75173783515392267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0.75173783515392267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0.75417895771878085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0.75417895771878085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0.75417895771878085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0.75417895771878085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0.10483992142698485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0.30573959766677616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0.30573959766677616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0.4705218812587767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0.4705218812587767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0.4705218812587767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0.4705218812587767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0.47379258276327535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0.47379258276327535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0.47379258276327535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0.47379258276327535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0.188832724782934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0.46675956434129379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0.46675956434129379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0.63851066393541367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0.63851066393541367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0.63851066393541367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0.63851066393541367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0.6415342334807026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0.6415342334807026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0.6415342334807026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0.6415342334807026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0.76335970463852376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0.92383579068169908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0.92383579068169908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0.96074788365672703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0.96074788365672703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0.96074788365672703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0.96074788365672703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0.96123980929986186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0.96123980929986186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0.96123980929986186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0.96123980929986186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0.53430513180578298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0.81182173210682596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0.81182173210682596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0.89696563804028639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0.89696563804028639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0.89696563804028639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0.89696563804028639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0.89817219082531452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0.89817219082531452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0.89817219082531452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0.89817219082531452</v>
      </c>
    </row>
  </sheetData>
  <sheetProtection algorithmName="SHA-512" hashValue="qUmajwSrwSejz28kcg89luJaCMQ+w7Wkbrb1zclIOHk8psAQLiemnkisLB4RZWGfjK/y1NURTbnKYURbwrqd7w==" saltValue="FLnr2t6d3IG9gvRJfZ+X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0.74965199256246406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0.75028153186317292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0.74937363382618449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0.749562939328692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0.73536216926523235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0.74131226602586131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0.73886256619599522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0.74131779020110855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0.64663503384933729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0.64740178040008656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0.64629617612918244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0.64652661436258574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0.62937218488913793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0.63652745551991607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0.6335759495506228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0.63653412021811673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0.86064721573245895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0.8610493750710364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0.8604693004153624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0.86059030298542916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0.85143742375252107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0.85529126992183147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0.85370791814661429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0.85529483523571492</v>
      </c>
    </row>
  </sheetData>
  <sheetProtection algorithmName="SHA-512" hashValue="hjwES3ZTDRGPTYwtJfbjjRokYGTh9qw1tnCE69P4ozSZQY+kM8lZvfsA7UPWOpn926jLh84D6lzJnUnFXmAZmA==" saltValue="GVSwXvghQvD6NSTiLpe3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ic6ttCDiP3fBFpyW7O+JGth5niJH2xRIobF74aNN6pGd4mdtr3lwOA5W66qa3vESzbJbmCFr/u6qucS79CXiCQ==" saltValue="K5EH4kxtE6bfy6ql0amY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DbmhVblE1dfAWa7iU+gQKghur1qcUjS0ZIqc2CWbZi8ObzS7tHwQBQawmCCJy0xROjxK7kcXdw17Ol2CjWke0w==" saltValue="prqTnjcvcIF+MgmHNIDrb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7.657369944615031E-3</v>
      </c>
    </row>
    <row r="4" spans="1:8" ht="15.75" customHeight="1" x14ac:dyDescent="0.25">
      <c r="B4" s="19" t="s">
        <v>79</v>
      </c>
      <c r="C4" s="101">
        <v>0.1679051777180304</v>
      </c>
    </row>
    <row r="5" spans="1:8" ht="15.75" customHeight="1" x14ac:dyDescent="0.25">
      <c r="B5" s="19" t="s">
        <v>80</v>
      </c>
      <c r="C5" s="101">
        <v>7.8118373834736701E-2</v>
      </c>
    </row>
    <row r="6" spans="1:8" ht="15.75" customHeight="1" x14ac:dyDescent="0.25">
      <c r="B6" s="19" t="s">
        <v>81</v>
      </c>
      <c r="C6" s="101">
        <v>0.29627379387842351</v>
      </c>
    </row>
    <row r="7" spans="1:8" ht="15.75" customHeight="1" x14ac:dyDescent="0.25">
      <c r="B7" s="19" t="s">
        <v>82</v>
      </c>
      <c r="C7" s="101">
        <v>0.2627464776007255</v>
      </c>
    </row>
    <row r="8" spans="1:8" ht="15.75" customHeight="1" x14ac:dyDescent="0.25">
      <c r="B8" s="19" t="s">
        <v>83</v>
      </c>
      <c r="C8" s="101">
        <v>1.5821735643554241E-2</v>
      </c>
    </row>
    <row r="9" spans="1:8" ht="15.75" customHeight="1" x14ac:dyDescent="0.25">
      <c r="B9" s="19" t="s">
        <v>84</v>
      </c>
      <c r="C9" s="101">
        <v>0.1059528266969353</v>
      </c>
    </row>
    <row r="10" spans="1:8" ht="15.75" customHeight="1" x14ac:dyDescent="0.25">
      <c r="B10" s="19" t="s">
        <v>85</v>
      </c>
      <c r="C10" s="101">
        <v>6.552424468297928E-2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0.15015934860680141</v>
      </c>
      <c r="D14" s="55">
        <v>0.15015934860680141</v>
      </c>
      <c r="E14" s="55">
        <v>0.15015934860680141</v>
      </c>
      <c r="F14" s="55">
        <v>0.15015934860680141</v>
      </c>
    </row>
    <row r="15" spans="1:8" ht="15.75" customHeight="1" x14ac:dyDescent="0.25">
      <c r="B15" s="19" t="s">
        <v>88</v>
      </c>
      <c r="C15" s="101">
        <v>0.26544604907649128</v>
      </c>
      <c r="D15" s="101">
        <v>0.26544604907649128</v>
      </c>
      <c r="E15" s="101">
        <v>0.26544604907649128</v>
      </c>
      <c r="F15" s="101">
        <v>0.26544604907649128</v>
      </c>
    </row>
    <row r="16" spans="1:8" ht="15.75" customHeight="1" x14ac:dyDescent="0.25">
      <c r="B16" s="19" t="s">
        <v>89</v>
      </c>
      <c r="C16" s="101">
        <v>4.3463038117430249E-2</v>
      </c>
      <c r="D16" s="101">
        <v>4.3463038117430249E-2</v>
      </c>
      <c r="E16" s="101">
        <v>4.3463038117430249E-2</v>
      </c>
      <c r="F16" s="101">
        <v>4.3463038117430249E-2</v>
      </c>
    </row>
    <row r="17" spans="1:8" ht="15.75" customHeight="1" x14ac:dyDescent="0.25">
      <c r="B17" s="19" t="s">
        <v>90</v>
      </c>
      <c r="C17" s="101">
        <v>3.034588114818209E-2</v>
      </c>
      <c r="D17" s="101">
        <v>3.034588114818209E-2</v>
      </c>
      <c r="E17" s="101">
        <v>3.034588114818209E-2</v>
      </c>
      <c r="F17" s="101">
        <v>3.034588114818209E-2</v>
      </c>
    </row>
    <row r="18" spans="1:8" ht="15.75" customHeight="1" x14ac:dyDescent="0.25">
      <c r="B18" s="19" t="s">
        <v>91</v>
      </c>
      <c r="C18" s="101">
        <v>2.8040054880726622E-3</v>
      </c>
      <c r="D18" s="101">
        <v>2.8040054880726622E-3</v>
      </c>
      <c r="E18" s="101">
        <v>2.8040054880726622E-3</v>
      </c>
      <c r="F18" s="101">
        <v>2.8040054880726622E-3</v>
      </c>
    </row>
    <row r="19" spans="1:8" ht="15.75" customHeight="1" x14ac:dyDescent="0.25">
      <c r="B19" s="19" t="s">
        <v>92</v>
      </c>
      <c r="C19" s="101">
        <v>3.365515816755385E-2</v>
      </c>
      <c r="D19" s="101">
        <v>3.365515816755385E-2</v>
      </c>
      <c r="E19" s="101">
        <v>3.365515816755385E-2</v>
      </c>
      <c r="F19" s="101">
        <v>3.365515816755385E-2</v>
      </c>
    </row>
    <row r="20" spans="1:8" ht="15.75" customHeight="1" x14ac:dyDescent="0.25">
      <c r="B20" s="19" t="s">
        <v>93</v>
      </c>
      <c r="C20" s="101">
        <v>3.1786054073555663E-2</v>
      </c>
      <c r="D20" s="101">
        <v>3.1786054073555663E-2</v>
      </c>
      <c r="E20" s="101">
        <v>3.1786054073555663E-2</v>
      </c>
      <c r="F20" s="101">
        <v>3.1786054073555663E-2</v>
      </c>
    </row>
    <row r="21" spans="1:8" ht="15.75" customHeight="1" x14ac:dyDescent="0.25">
      <c r="B21" s="19" t="s">
        <v>94</v>
      </c>
      <c r="C21" s="101">
        <v>0.13649952315063441</v>
      </c>
      <c r="D21" s="101">
        <v>0.13649952315063441</v>
      </c>
      <c r="E21" s="101">
        <v>0.13649952315063441</v>
      </c>
      <c r="F21" s="101">
        <v>0.13649952315063441</v>
      </c>
    </row>
    <row r="22" spans="1:8" ht="15.75" customHeight="1" x14ac:dyDescent="0.25">
      <c r="B22" s="19" t="s">
        <v>95</v>
      </c>
      <c r="C22" s="101">
        <v>0.30584094217127822</v>
      </c>
      <c r="D22" s="101">
        <v>0.30584094217127822</v>
      </c>
      <c r="E22" s="101">
        <v>0.30584094217127822</v>
      </c>
      <c r="F22" s="101">
        <v>0.30584094217127822</v>
      </c>
    </row>
    <row r="23" spans="1:8" ht="15.75" customHeight="1" x14ac:dyDescent="0.25">
      <c r="B23" s="27" t="s">
        <v>41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8.7529259999999998E-2</v>
      </c>
    </row>
    <row r="27" spans="1:8" ht="15.75" customHeight="1" x14ac:dyDescent="0.25">
      <c r="B27" s="19" t="s">
        <v>102</v>
      </c>
      <c r="C27" s="101">
        <v>8.5087389999999995E-3</v>
      </c>
    </row>
    <row r="28" spans="1:8" ht="15.75" customHeight="1" x14ac:dyDescent="0.25">
      <c r="B28" s="19" t="s">
        <v>103</v>
      </c>
      <c r="C28" s="101">
        <v>0.15587014399999999</v>
      </c>
    </row>
    <row r="29" spans="1:8" ht="15.75" customHeight="1" x14ac:dyDescent="0.25">
      <c r="B29" s="19" t="s">
        <v>104</v>
      </c>
      <c r="C29" s="101">
        <v>0.16769983199999999</v>
      </c>
    </row>
    <row r="30" spans="1:8" ht="15.75" customHeight="1" x14ac:dyDescent="0.25">
      <c r="B30" s="19" t="s">
        <v>2</v>
      </c>
      <c r="C30" s="101">
        <v>0.106388358</v>
      </c>
    </row>
    <row r="31" spans="1:8" ht="15.75" customHeight="1" x14ac:dyDescent="0.25">
      <c r="B31" s="19" t="s">
        <v>105</v>
      </c>
      <c r="C31" s="101">
        <v>0.108993619</v>
      </c>
    </row>
    <row r="32" spans="1:8" ht="15.75" customHeight="1" x14ac:dyDescent="0.25">
      <c r="B32" s="19" t="s">
        <v>106</v>
      </c>
      <c r="C32" s="101">
        <v>1.8349142999999998E-2</v>
      </c>
    </row>
    <row r="33" spans="2:3" ht="15.75" customHeight="1" x14ac:dyDescent="0.25">
      <c r="B33" s="19" t="s">
        <v>107</v>
      </c>
      <c r="C33" s="101">
        <v>8.4419259999999982E-2</v>
      </c>
    </row>
    <row r="34" spans="2:3" ht="15.75" customHeight="1" x14ac:dyDescent="0.25">
      <c r="B34" s="19" t="s">
        <v>108</v>
      </c>
      <c r="C34" s="101">
        <v>0.26224164300000002</v>
      </c>
    </row>
    <row r="35" spans="2:3" ht="15.75" customHeight="1" x14ac:dyDescent="0.25">
      <c r="B35" s="27" t="s">
        <v>41</v>
      </c>
      <c r="C35" s="48">
        <f>SUM(C26:C34)</f>
        <v>0.99999999800000006</v>
      </c>
    </row>
  </sheetData>
  <sheetProtection algorithmName="SHA-512" hashValue="myHGXy3RykBwP9LesMBprb20m3QYDmWQyTsNLz2VWx3zWNbNxOYSsqkNIKA8o4yll6mWi4A2KEYGc3+fv6l3SQ==" saltValue="gxaeRwbdK0ZtmQIDGXVcm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0.47930938742751028</v>
      </c>
      <c r="D2" s="52">
        <f>IFERROR(1-_xlfn.NORM.DIST(_xlfn.NORM.INV(SUM(D4:D5), 0, 1) + 1, 0, 1, TRUE), "")</f>
        <v>0.47930938742751028</v>
      </c>
      <c r="E2" s="52">
        <f>IFERROR(1-_xlfn.NORM.DIST(_xlfn.NORM.INV(SUM(E4:E5), 0, 1) + 1, 0, 1, TRUE), "")</f>
        <v>0.34014292111586675</v>
      </c>
      <c r="F2" s="52">
        <f>IFERROR(1-_xlfn.NORM.DIST(_xlfn.NORM.INV(SUM(F4:F5), 0, 1) + 1, 0, 1, TRUE), "")</f>
        <v>0.28965611384214496</v>
      </c>
      <c r="G2" s="52">
        <f>IFERROR(1-_xlfn.NORM.DIST(_xlfn.NORM.INV(SUM(G4:G5), 0, 1) + 1, 0, 1, TRUE), "")</f>
        <v>0.20340579616572763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0.34915466057248973</v>
      </c>
      <c r="D3" s="52">
        <f>IFERROR(_xlfn.NORM.DIST(_xlfn.NORM.INV(SUM(D4:D5), 0, 1) + 1, 0, 1, TRUE) - SUM(D4:D5), "")</f>
        <v>0.34915466057248973</v>
      </c>
      <c r="E3" s="52">
        <f>IFERROR(_xlfn.NORM.DIST(_xlfn.NORM.INV(SUM(E4:E5), 0, 1) + 1, 0, 1, TRUE) - SUM(E4:E5), "")</f>
        <v>0.38156639788413327</v>
      </c>
      <c r="F3" s="52">
        <f>IFERROR(_xlfn.NORM.DIST(_xlfn.NORM.INV(SUM(F4:F5), 0, 1) + 1, 0, 1, TRUE) - SUM(F4:F5), "")</f>
        <v>0.38240453015785503</v>
      </c>
      <c r="G3" s="52">
        <f>IFERROR(_xlfn.NORM.DIST(_xlfn.NORM.INV(SUM(G4:G5), 0, 1) + 1, 0, 1, TRUE) - SUM(G4:G5), "")</f>
        <v>0.36427882383427235</v>
      </c>
    </row>
    <row r="4" spans="1:15" ht="15.75" customHeight="1" x14ac:dyDescent="0.25">
      <c r="B4" s="5" t="s">
        <v>114</v>
      </c>
      <c r="C4" s="45">
        <v>0.13261111</v>
      </c>
      <c r="D4" s="53">
        <v>0.13261111</v>
      </c>
      <c r="E4" s="53">
        <v>0.19086748000000001</v>
      </c>
      <c r="F4" s="53">
        <v>0.23636545</v>
      </c>
      <c r="G4" s="53">
        <v>0.28320193999999999</v>
      </c>
    </row>
    <row r="5" spans="1:15" ht="15.75" customHeight="1" x14ac:dyDescent="0.25">
      <c r="B5" s="5" t="s">
        <v>115</v>
      </c>
      <c r="C5" s="45">
        <v>3.8924842000000001E-2</v>
      </c>
      <c r="D5" s="53">
        <v>3.8924842000000001E-2</v>
      </c>
      <c r="E5" s="53">
        <v>8.7423201000000006E-2</v>
      </c>
      <c r="F5" s="53">
        <v>9.1573905999999997E-2</v>
      </c>
      <c r="G5" s="53">
        <v>0.14911344000000001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0.62228245443092634</v>
      </c>
      <c r="D8" s="52">
        <f>IFERROR(1-_xlfn.NORM.DIST(_xlfn.NORM.INV(SUM(D10:D11), 0, 1) + 1, 0, 1, TRUE), "")</f>
        <v>0.62228245443092634</v>
      </c>
      <c r="E8" s="52">
        <f>IFERROR(1-_xlfn.NORM.DIST(_xlfn.NORM.INV(SUM(E10:E11), 0, 1) + 1, 0, 1, TRUE), "")</f>
        <v>0.70240883725994263</v>
      </c>
      <c r="F8" s="52">
        <f>IFERROR(1-_xlfn.NORM.DIST(_xlfn.NORM.INV(SUM(F10:F11), 0, 1) + 1, 0, 1, TRUE), "")</f>
        <v>0.65828626088413289</v>
      </c>
      <c r="G8" s="52">
        <f>IFERROR(1-_xlfn.NORM.DIST(_xlfn.NORM.INV(SUM(G10:G11), 0, 1) + 1, 0, 1, TRUE), "")</f>
        <v>0.6920067782465521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0.28286986756907367</v>
      </c>
      <c r="D9" s="52">
        <f>IFERROR(_xlfn.NORM.DIST(_xlfn.NORM.INV(SUM(D10:D11), 0, 1) + 1, 0, 1, TRUE) - SUM(D10:D11), "")</f>
        <v>0.28286986756907367</v>
      </c>
      <c r="E9" s="52">
        <f>IFERROR(_xlfn.NORM.DIST(_xlfn.NORM.INV(SUM(E10:E11), 0, 1) + 1, 0, 1, TRUE) - SUM(E10:E11), "")</f>
        <v>0.23474862484005732</v>
      </c>
      <c r="F9" s="52">
        <f>IFERROR(_xlfn.NORM.DIST(_xlfn.NORM.INV(SUM(F10:F11), 0, 1) + 1, 0, 1, TRUE) - SUM(F10:F11), "")</f>
        <v>0.2621171841158671</v>
      </c>
      <c r="G9" s="52">
        <f>IFERROR(_xlfn.NORM.DIST(_xlfn.NORM.INV(SUM(G10:G11), 0, 1) + 1, 0, 1, TRUE) - SUM(G10:G11), "")</f>
        <v>0.2413861087534479</v>
      </c>
    </row>
    <row r="10" spans="1:15" ht="15.75" customHeight="1" x14ac:dyDescent="0.25">
      <c r="B10" s="5" t="s">
        <v>119</v>
      </c>
      <c r="C10" s="45">
        <v>8.3012753000000009E-2</v>
      </c>
      <c r="D10" s="53">
        <v>8.3012753000000009E-2</v>
      </c>
      <c r="E10" s="53">
        <v>5.4330702000000002E-2</v>
      </c>
      <c r="F10" s="53">
        <v>6.6297607000000008E-2</v>
      </c>
      <c r="G10" s="53">
        <v>5.4303459999999998E-2</v>
      </c>
    </row>
    <row r="11" spans="1:15" ht="15.75" customHeight="1" x14ac:dyDescent="0.25">
      <c r="B11" s="5" t="s">
        <v>120</v>
      </c>
      <c r="C11" s="45">
        <v>1.1834925E-2</v>
      </c>
      <c r="D11" s="53">
        <v>1.1834925E-2</v>
      </c>
      <c r="E11" s="53">
        <v>8.5118359000000005E-3</v>
      </c>
      <c r="F11" s="53">
        <v>1.3298948E-2</v>
      </c>
      <c r="G11" s="53">
        <v>1.2303652999999999E-2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0.90827927350000015</v>
      </c>
      <c r="D14" s="54">
        <v>0.900232278725</v>
      </c>
      <c r="E14" s="54">
        <v>0.900232278725</v>
      </c>
      <c r="F14" s="54">
        <v>0.62486000702099997</v>
      </c>
      <c r="G14" s="54">
        <v>0.62486000702099997</v>
      </c>
      <c r="H14" s="45">
        <v>0.24299999999999999</v>
      </c>
      <c r="I14" s="55">
        <v>0.24299999999999999</v>
      </c>
      <c r="J14" s="55">
        <v>0.24299999999999999</v>
      </c>
      <c r="K14" s="55">
        <v>0.24299999999999999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0.50891614317623801</v>
      </c>
      <c r="D15" s="52">
        <f t="shared" si="0"/>
        <v>0.50440734762784722</v>
      </c>
      <c r="E15" s="52">
        <f t="shared" si="0"/>
        <v>0.50440734762784722</v>
      </c>
      <c r="F15" s="52">
        <f t="shared" si="0"/>
        <v>0.35011406081392238</v>
      </c>
      <c r="G15" s="52">
        <f t="shared" si="0"/>
        <v>0.35011406081392238</v>
      </c>
      <c r="H15" s="52">
        <f t="shared" si="0"/>
        <v>0.13615484399999997</v>
      </c>
      <c r="I15" s="52">
        <f t="shared" si="0"/>
        <v>0.13615484399999997</v>
      </c>
      <c r="J15" s="52">
        <f t="shared" si="0"/>
        <v>0.13615484399999997</v>
      </c>
      <c r="K15" s="52">
        <f t="shared" si="0"/>
        <v>0.13615484399999997</v>
      </c>
      <c r="L15" s="52">
        <f t="shared" si="0"/>
        <v>0.13055176399999999</v>
      </c>
      <c r="M15" s="52">
        <f t="shared" si="0"/>
        <v>0.13055176399999999</v>
      </c>
      <c r="N15" s="52">
        <f t="shared" si="0"/>
        <v>0.13055176399999999</v>
      </c>
      <c r="O15" s="52">
        <f t="shared" si="0"/>
        <v>0.13055176399999999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JoD3VlCtBBDGFOQzYxz4T++Xfx8xGm3ZVAwFmL7FQx35ecvNSdtKQup2qbQqxiHaqMafFHpFX3PhCu8qo/ykjg==" saltValue="X6cU2U6UqKoGkB4pRc7x3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0.73135047909999995</v>
      </c>
      <c r="D2" s="53">
        <v>0.56024585999999998</v>
      </c>
      <c r="E2" s="53"/>
      <c r="F2" s="53"/>
      <c r="G2" s="53"/>
    </row>
    <row r="3" spans="1:7" x14ac:dyDescent="0.25">
      <c r="B3" s="3" t="s">
        <v>130</v>
      </c>
      <c r="C3" s="53">
        <v>0.10681968</v>
      </c>
      <c r="D3" s="53">
        <v>0.15972823</v>
      </c>
      <c r="E3" s="53"/>
      <c r="F3" s="53"/>
      <c r="G3" s="53"/>
    </row>
    <row r="4" spans="1:7" x14ac:dyDescent="0.25">
      <c r="B4" s="3" t="s">
        <v>131</v>
      </c>
      <c r="C4" s="53">
        <v>8.5384884000000008E-2</v>
      </c>
      <c r="D4" s="53">
        <v>0.22809884999999999</v>
      </c>
      <c r="E4" s="53">
        <v>0.94018203020095792</v>
      </c>
      <c r="F4" s="53">
        <v>0.84757745265960693</v>
      </c>
      <c r="G4" s="53"/>
    </row>
    <row r="5" spans="1:7" x14ac:dyDescent="0.25">
      <c r="B5" s="3" t="s">
        <v>132</v>
      </c>
      <c r="C5" s="52">
        <v>7.6444969180000003E-2</v>
      </c>
      <c r="D5" s="52">
        <v>5.1927031999999998E-2</v>
      </c>
      <c r="E5" s="52">
        <f>1-SUM(E2:E4)</f>
        <v>5.9817969799042081E-2</v>
      </c>
      <c r="F5" s="52">
        <f>1-SUM(F2:F4)</f>
        <v>0.15242254734039307</v>
      </c>
      <c r="G5" s="52">
        <f>1-SUM(G2:G4)</f>
        <v>1</v>
      </c>
    </row>
  </sheetData>
  <sheetProtection algorithmName="SHA-512" hashValue="PskM+N7T6B5/Mdo1hsX1YXadpmy+qxdna0FBGfAzhJQ7k4cwHfcGyyB6EYA4YiGdKRntkxNkdTdTNyBwUyaffg==" saltValue="bTaKkisX5r5fUutAN7aS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7wy68GUaDha/NsXpl2d14ttcwsQZlntlyyBG2ga0jm+qB4VGCtHuQfNgSIpwSnLZBYhF2wx8Y12cuMLrFUnVcQ==" saltValue="fMGPj0M5j54zV+csdXii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g9YeVmjR/QL/cHQidun8+VVFQK3P9sNhLi1a3MYdhmJvlUxtd/w+OUCGhCvZVLBzRi/iZPCuMPWTQF8TH/GJVA==" saltValue="dHSArXYBE8xkJXku9r0h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oRiMLfrMfgw0/3bgClwYBHkgVPpfCHzChjStUzBGNmJlWb+tUPsoRyGpUYWrhJiOyUvN/Rp3pKahQM2LdwtmEg==" saltValue="2fzUoBmSKP52GyZvXWIa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5adNfZ6FO4ydx+ExjJywBS7+kdYTOxFBkkWve7WzXsnMpNOEMERR3Bi487BsWGGu1Yr1xaeL3PHvguawunzrdQ==" saltValue="fYKm8GCDsUgHMdF55Hq5g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2024-03-18T01:32:09Z</dcterms:modified>
</cp:coreProperties>
</file>