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harindu.wickram\Desktop\Modeling\Nutrition\inputs\fr\LiST countries\"/>
    </mc:Choice>
  </mc:AlternateContent>
  <xr:revisionPtr revIDLastSave="0" documentId="8_{5FC98CB2-9592-4654-A9A5-8FBD4D216998}" xr6:coauthVersionLast="47" xr6:coauthVersionMax="47" xr10:uidLastSave="{00000000-0000-0000-0000-000000000000}"/>
  <bookViews>
    <workbookView xWindow="0" yWindow="3670" windowWidth="19200" windowHeight="6530" tabRatio="961" xr2:uid="{00000000-000D-0000-FFFF-FFFF00000000}"/>
  </bookViews>
  <sheets>
    <sheet name="Données pop de l'anné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'Données pop de l''année de ref'!$C$38</definedName>
    <definedName name="abortion">'Données pop de l''année de ref'!$C$41</definedName>
    <definedName name="comm_deliv">'Traitement de la MAS'!$D$3</definedName>
    <definedName name="diarrhoea_1_5mo">'Données pop de l''année de ref'!$C$52</definedName>
    <definedName name="diarrhoea_12_23mo">'Données pop de l''année de ref'!$C$54</definedName>
    <definedName name="diarrhoea_1mo">'Données pop de l''année de ref'!$C$51</definedName>
    <definedName name="diarrhoea_24_59mo">'Données pop de l''année de ref'!$C$55</definedName>
    <definedName name="diarrhoea_6_11mo">'Données pop de l''année de ref'!$C$53</definedName>
    <definedName name="end_year">'Données pop de l''année de ref'!$C$4</definedName>
    <definedName name="famplan_unmet_need">'Données pop de l''année de ref'!$C$13</definedName>
    <definedName name="food_insecure">'Données pop de l''année de ref'!$C$8</definedName>
    <definedName name="frac_children_health_facility">'Données pop de l''année de ref'!$C$12</definedName>
    <definedName name="frac_diarrhea_severe">'Données pop de l''année de ref'!$C$58</definedName>
    <definedName name="frac_maize">'Données pop de l''année de ref'!$C$19</definedName>
    <definedName name="frac_malaria_risk">'Données pop de l''année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'Données pop de l''année de ref'!#REF!</definedName>
    <definedName name="frac_other_staples">'Données pop de l''année de ref'!$C$20</definedName>
    <definedName name="frac_PW_health_facility">'Données pop de l''année de ref'!$C$11</definedName>
    <definedName name="frac_rice">'Données pop de l''année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'Données pop de l''année de ref'!#REF!</definedName>
    <definedName name="frac_subsistence_farming">'Données pop de l''année de ref'!$C$16</definedName>
    <definedName name="frac_wheat">'Données pop de l''année de ref'!$C$18</definedName>
    <definedName name="infant_mortality">'Données pop de l''année de ref'!$C$38</definedName>
    <definedName name="iron_deficiency_anaemia">'Données pop de l''année de ref'!$C$59</definedName>
    <definedName name="manage_mam">'Traitement de la MAS'!$D$2</definedName>
    <definedName name="maternal_mortality">'Données pop de l''année de ref'!$C$40</definedName>
    <definedName name="neonatal_mortality">'Données pop de l''année de ref'!$C$37</definedName>
    <definedName name="Percentage_of_pregnant_women_attending_health_facility">'Données pop de l''année de ref'!$C$11</definedName>
    <definedName name="preterm_AGA">'Données pop de l''année de ref'!$C$46</definedName>
    <definedName name="preterm_SGA">'Données pop de l''année de ref'!$C$45</definedName>
    <definedName name="school_attendance">'Données pop de l''année de ref'!$C$10</definedName>
    <definedName name="start_year">'Données pop de l''année de ref'!$C$3</definedName>
    <definedName name="stillbirth" localSheetId="7">'Données pop de l''année de ref'!$C$39</definedName>
    <definedName name="stillbirth">'Données pop de l''année de ref'!$C$42</definedName>
    <definedName name="term_AGA">'Données pop de l''année de ref'!$C$48</definedName>
    <definedName name="term_SGA">'Données pop de l''année de ref'!$C$47</definedName>
    <definedName name="U5_mortality">'Données pop de l''année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0" l="1"/>
  <c r="A1" i="5"/>
  <c r="A1" i="4"/>
  <c r="A1" i="3"/>
  <c r="G25" i="28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1" i="28"/>
  <c r="F11" i="28"/>
  <c r="E11" i="28"/>
  <c r="D11" i="28"/>
  <c r="H153" i="27"/>
  <c r="G153" i="27"/>
  <c r="F153" i="27"/>
  <c r="E153" i="27"/>
  <c r="D153" i="27"/>
  <c r="H136" i="27"/>
  <c r="G136" i="27"/>
  <c r="F136" i="27"/>
  <c r="E136" i="27"/>
  <c r="H135" i="27"/>
  <c r="G135" i="27"/>
  <c r="F135" i="27"/>
  <c r="E135" i="27"/>
  <c r="H134" i="27"/>
  <c r="G134" i="27"/>
  <c r="F134" i="27"/>
  <c r="E134" i="27"/>
  <c r="H133" i="27"/>
  <c r="G133" i="27"/>
  <c r="F133" i="27"/>
  <c r="E133" i="27"/>
  <c r="H132" i="27"/>
  <c r="G132" i="27"/>
  <c r="F132" i="27"/>
  <c r="E132" i="27"/>
  <c r="H131" i="27"/>
  <c r="G131" i="27"/>
  <c r="F131" i="27"/>
  <c r="E131" i="27"/>
  <c r="D131" i="27"/>
  <c r="E130" i="27"/>
  <c r="D130" i="27"/>
  <c r="H129" i="27"/>
  <c r="E129" i="27"/>
  <c r="D129" i="27"/>
  <c r="E128" i="27"/>
  <c r="D128" i="27"/>
  <c r="H127" i="27"/>
  <c r="G127" i="27"/>
  <c r="F127" i="27"/>
  <c r="E127" i="27"/>
  <c r="D127" i="27"/>
  <c r="H126" i="27"/>
  <c r="E126" i="27"/>
  <c r="D126" i="27"/>
  <c r="H125" i="27"/>
  <c r="G125" i="27"/>
  <c r="F125" i="27"/>
  <c r="E125" i="27"/>
  <c r="D125" i="27"/>
  <c r="H124" i="27"/>
  <c r="E124" i="27"/>
  <c r="D124" i="27"/>
  <c r="E114" i="27"/>
  <c r="D114" i="27"/>
  <c r="E113" i="27"/>
  <c r="D113" i="27"/>
  <c r="E112" i="27"/>
  <c r="D112" i="27"/>
  <c r="H97" i="27"/>
  <c r="H152" i="27" s="1"/>
  <c r="G97" i="27"/>
  <c r="G152" i="27" s="1"/>
  <c r="F97" i="27"/>
  <c r="F152" i="27" s="1"/>
  <c r="E97" i="27"/>
  <c r="E152" i="27" s="1"/>
  <c r="D97" i="27"/>
  <c r="D152" i="27" s="1"/>
  <c r="H81" i="27"/>
  <c r="G81" i="27"/>
  <c r="F81" i="27"/>
  <c r="E81" i="27"/>
  <c r="H80" i="27"/>
  <c r="G80" i="27"/>
  <c r="F80" i="27"/>
  <c r="E80" i="27"/>
  <c r="D80" i="27"/>
  <c r="D135" i="27" s="1"/>
  <c r="H79" i="27"/>
  <c r="G79" i="27"/>
  <c r="F79" i="27"/>
  <c r="E79" i="27"/>
  <c r="H78" i="27"/>
  <c r="G78" i="27"/>
  <c r="F78" i="27"/>
  <c r="E78" i="27"/>
  <c r="D78" i="27"/>
  <c r="D133" i="27" s="1"/>
  <c r="H77" i="27"/>
  <c r="G77" i="27"/>
  <c r="F77" i="27"/>
  <c r="E77" i="27"/>
  <c r="H76" i="27"/>
  <c r="G76" i="27"/>
  <c r="F76" i="27"/>
  <c r="E76" i="27"/>
  <c r="D76" i="27"/>
  <c r="E75" i="27"/>
  <c r="D75" i="27"/>
  <c r="H74" i="27"/>
  <c r="G74" i="27"/>
  <c r="G129" i="27" s="1"/>
  <c r="F74" i="27"/>
  <c r="F129" i="27" s="1"/>
  <c r="E74" i="27"/>
  <c r="D74" i="27"/>
  <c r="E73" i="27"/>
  <c r="D73" i="27"/>
  <c r="H72" i="27"/>
  <c r="G72" i="27"/>
  <c r="F72" i="27"/>
  <c r="E72" i="27"/>
  <c r="D72" i="27"/>
  <c r="H71" i="27"/>
  <c r="E71" i="27"/>
  <c r="D71" i="27"/>
  <c r="H70" i="27"/>
  <c r="G70" i="27"/>
  <c r="F70" i="27"/>
  <c r="E70" i="27"/>
  <c r="D70" i="27"/>
  <c r="H69" i="27"/>
  <c r="E69" i="27"/>
  <c r="D69" i="27"/>
  <c r="E59" i="27"/>
  <c r="D59" i="27"/>
  <c r="E58" i="27"/>
  <c r="D58" i="27"/>
  <c r="H57" i="27"/>
  <c r="H112" i="27" s="1"/>
  <c r="G57" i="27"/>
  <c r="G112" i="27" s="1"/>
  <c r="F57" i="27"/>
  <c r="F112" i="27" s="1"/>
  <c r="E57" i="27"/>
  <c r="D57" i="27"/>
  <c r="G19" i="26"/>
  <c r="F19" i="26"/>
  <c r="E19" i="26"/>
  <c r="D19" i="26"/>
  <c r="G17" i="26"/>
  <c r="F17" i="26"/>
  <c r="E17" i="26"/>
  <c r="D17" i="26"/>
  <c r="G12" i="26"/>
  <c r="F12" i="26"/>
  <c r="E12" i="26"/>
  <c r="D12" i="26"/>
  <c r="G10" i="26"/>
  <c r="F10" i="26"/>
  <c r="E10" i="26"/>
  <c r="D10" i="26"/>
  <c r="G5" i="26"/>
  <c r="F5" i="26"/>
  <c r="E5" i="26"/>
  <c r="D5" i="26"/>
  <c r="G3" i="26"/>
  <c r="F3" i="26"/>
  <c r="E3" i="26"/>
  <c r="D3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D59" i="25"/>
  <c r="C59" i="25"/>
  <c r="O57" i="25"/>
  <c r="N57" i="25"/>
  <c r="M57" i="25"/>
  <c r="L57" i="25"/>
  <c r="K57" i="25"/>
  <c r="J57" i="25"/>
  <c r="I57" i="25"/>
  <c r="H57" i="25"/>
  <c r="G57" i="25"/>
  <c r="D57" i="25"/>
  <c r="C57" i="25"/>
  <c r="K56" i="25"/>
  <c r="J56" i="25"/>
  <c r="I56" i="25"/>
  <c r="H56" i="25"/>
  <c r="G56" i="25"/>
  <c r="F56" i="25"/>
  <c r="E56" i="25"/>
  <c r="D56" i="25"/>
  <c r="C56" i="25"/>
  <c r="K55" i="25"/>
  <c r="J55" i="25"/>
  <c r="I55" i="25"/>
  <c r="H55" i="25"/>
  <c r="G55" i="25"/>
  <c r="F55" i="25"/>
  <c r="E55" i="25"/>
  <c r="D55" i="25"/>
  <c r="C55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G53" i="25"/>
  <c r="F53" i="25"/>
  <c r="E53" i="25"/>
  <c r="D53" i="25"/>
  <c r="C53" i="25"/>
  <c r="O52" i="25"/>
  <c r="N52" i="25"/>
  <c r="M52" i="25"/>
  <c r="L52" i="25"/>
  <c r="G52" i="25"/>
  <c r="F52" i="25"/>
  <c r="E52" i="25"/>
  <c r="D52" i="25"/>
  <c r="C52" i="25"/>
  <c r="O51" i="25"/>
  <c r="N51" i="25"/>
  <c r="M51" i="25"/>
  <c r="L51" i="25"/>
  <c r="G51" i="25"/>
  <c r="F51" i="25"/>
  <c r="E51" i="25"/>
  <c r="D51" i="25"/>
  <c r="C51" i="25"/>
  <c r="O50" i="25"/>
  <c r="N50" i="25"/>
  <c r="M50" i="25"/>
  <c r="L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D36" i="25"/>
  <c r="C36" i="25"/>
  <c r="O34" i="25"/>
  <c r="N34" i="25"/>
  <c r="M34" i="25"/>
  <c r="L34" i="25"/>
  <c r="K34" i="25"/>
  <c r="J34" i="25"/>
  <c r="I34" i="25"/>
  <c r="H34" i="25"/>
  <c r="D34" i="25"/>
  <c r="C34" i="25"/>
  <c r="K33" i="25"/>
  <c r="J33" i="25"/>
  <c r="I33" i="25"/>
  <c r="H33" i="25"/>
  <c r="G33" i="25"/>
  <c r="F33" i="25"/>
  <c r="E33" i="25"/>
  <c r="D33" i="25"/>
  <c r="C33" i="25"/>
  <c r="K32" i="25"/>
  <c r="J32" i="25"/>
  <c r="I32" i="25"/>
  <c r="H32" i="25"/>
  <c r="G32" i="25"/>
  <c r="F32" i="25"/>
  <c r="E32" i="25"/>
  <c r="D32" i="25"/>
  <c r="C32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G30" i="25"/>
  <c r="F30" i="25"/>
  <c r="E30" i="25"/>
  <c r="D30" i="25"/>
  <c r="C30" i="25"/>
  <c r="O29" i="25"/>
  <c r="N29" i="25"/>
  <c r="M29" i="25"/>
  <c r="L29" i="25"/>
  <c r="G29" i="25"/>
  <c r="F29" i="25"/>
  <c r="E29" i="25"/>
  <c r="D29" i="25"/>
  <c r="C29" i="25"/>
  <c r="O28" i="25"/>
  <c r="N28" i="25"/>
  <c r="M28" i="25"/>
  <c r="L28" i="25"/>
  <c r="G28" i="25"/>
  <c r="F28" i="25"/>
  <c r="E28" i="25"/>
  <c r="D28" i="25"/>
  <c r="C28" i="25"/>
  <c r="O27" i="25"/>
  <c r="N27" i="25"/>
  <c r="M27" i="25"/>
  <c r="L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O21" i="25"/>
  <c r="N21" i="25"/>
  <c r="M21" i="25"/>
  <c r="L21" i="25"/>
  <c r="K21" i="25"/>
  <c r="J21" i="25"/>
  <c r="I21" i="25"/>
  <c r="H21" i="25"/>
  <c r="G21" i="25"/>
  <c r="F21" i="25"/>
  <c r="E21" i="25"/>
  <c r="O19" i="25"/>
  <c r="N19" i="25"/>
  <c r="M19" i="25"/>
  <c r="L19" i="25"/>
  <c r="K19" i="25"/>
  <c r="J19" i="25"/>
  <c r="I19" i="25"/>
  <c r="H19" i="25"/>
  <c r="G19" i="25"/>
  <c r="F19" i="25"/>
  <c r="E19" i="25"/>
  <c r="F42" i="24"/>
  <c r="E42" i="24"/>
  <c r="D42" i="24"/>
  <c r="C42" i="24"/>
  <c r="F40" i="24"/>
  <c r="E40" i="24"/>
  <c r="D40" i="24"/>
  <c r="C40" i="24"/>
  <c r="F38" i="24"/>
  <c r="E38" i="24"/>
  <c r="D38" i="24"/>
  <c r="C38" i="24"/>
  <c r="F36" i="24"/>
  <c r="E36" i="24"/>
  <c r="D36" i="24"/>
  <c r="C36" i="24"/>
  <c r="F34" i="24"/>
  <c r="E34" i="24"/>
  <c r="D34" i="24"/>
  <c r="C34" i="24"/>
  <c r="F32" i="24"/>
  <c r="E32" i="24"/>
  <c r="D32" i="24"/>
  <c r="C32" i="24"/>
  <c r="F27" i="24"/>
  <c r="E27" i="24"/>
  <c r="D27" i="24"/>
  <c r="C27" i="24"/>
  <c r="F25" i="24"/>
  <c r="E25" i="24"/>
  <c r="D25" i="24"/>
  <c r="C25" i="24"/>
  <c r="F23" i="24"/>
  <c r="E23" i="24"/>
  <c r="D23" i="24"/>
  <c r="C23" i="24"/>
  <c r="F21" i="24"/>
  <c r="E21" i="24"/>
  <c r="D21" i="24"/>
  <c r="C21" i="24"/>
  <c r="F19" i="24"/>
  <c r="E19" i="24"/>
  <c r="D19" i="24"/>
  <c r="C19" i="24"/>
  <c r="F17" i="24"/>
  <c r="E17" i="24"/>
  <c r="D17" i="24"/>
  <c r="C17" i="24"/>
  <c r="D12" i="24"/>
  <c r="C12" i="24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F8" i="23"/>
  <c r="E8" i="23"/>
  <c r="F7" i="23"/>
  <c r="E7" i="23"/>
  <c r="F6" i="23"/>
  <c r="E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F121" i="20"/>
  <c r="E121" i="20"/>
  <c r="D121" i="20"/>
  <c r="H120" i="20"/>
  <c r="F120" i="20"/>
  <c r="E120" i="20"/>
  <c r="D120" i="20"/>
  <c r="H119" i="20"/>
  <c r="G119" i="20"/>
  <c r="F119" i="20"/>
  <c r="E119" i="20"/>
  <c r="D119" i="20"/>
  <c r="H118" i="20"/>
  <c r="G118" i="20"/>
  <c r="E118" i="20"/>
  <c r="D118" i="20"/>
  <c r="H117" i="20"/>
  <c r="G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D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F68" i="20"/>
  <c r="E68" i="20"/>
  <c r="D68" i="20"/>
  <c r="H67" i="20"/>
  <c r="F67" i="20"/>
  <c r="E67" i="20"/>
  <c r="D67" i="20"/>
  <c r="H66" i="20"/>
  <c r="G66" i="20"/>
  <c r="F66" i="20"/>
  <c r="E66" i="20"/>
  <c r="D66" i="20"/>
  <c r="H65" i="20"/>
  <c r="G65" i="20"/>
  <c r="E65" i="20"/>
  <c r="D65" i="20"/>
  <c r="H64" i="20"/>
  <c r="G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D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E9" i="20"/>
  <c r="E8" i="20"/>
  <c r="D6" i="20"/>
  <c r="D5" i="20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C35" i="3"/>
  <c r="F23" i="3"/>
  <c r="E23" i="3"/>
  <c r="D23" i="3"/>
  <c r="C23" i="3"/>
  <c r="C11" i="3"/>
  <c r="H40" i="2"/>
  <c r="I40" i="2" s="1"/>
  <c r="G40" i="2"/>
  <c r="H39" i="2"/>
  <c r="G39" i="2"/>
  <c r="I39" i="2" s="1"/>
  <c r="A39" i="2"/>
  <c r="H38" i="2"/>
  <c r="I38" i="2" s="1"/>
  <c r="G38" i="2"/>
  <c r="A38" i="2"/>
  <c r="A37" i="2"/>
  <c r="A34" i="2"/>
  <c r="A33" i="2"/>
  <c r="A32" i="2"/>
  <c r="A29" i="2"/>
  <c r="A27" i="2"/>
  <c r="A26" i="2"/>
  <c r="A24" i="2"/>
  <c r="A22" i="2"/>
  <c r="A21" i="2"/>
  <c r="A18" i="2"/>
  <c r="A17" i="2"/>
  <c r="A16" i="2"/>
  <c r="A13" i="2"/>
  <c r="H11" i="2"/>
  <c r="I11" i="2" s="1"/>
  <c r="G11" i="2"/>
  <c r="H10" i="2"/>
  <c r="G10" i="2"/>
  <c r="I10" i="2" s="1"/>
  <c r="I9" i="2"/>
  <c r="H9" i="2"/>
  <c r="G9" i="2"/>
  <c r="H8" i="2"/>
  <c r="G8" i="2"/>
  <c r="I8" i="2" s="1"/>
  <c r="H7" i="2"/>
  <c r="I7" i="2" s="1"/>
  <c r="G7" i="2"/>
  <c r="H6" i="2"/>
  <c r="G6" i="2"/>
  <c r="H5" i="2"/>
  <c r="I5" i="2" s="1"/>
  <c r="G5" i="2"/>
  <c r="H4" i="2"/>
  <c r="G4" i="2"/>
  <c r="I4" i="2" s="1"/>
  <c r="H3" i="2"/>
  <c r="I3" i="2" s="1"/>
  <c r="G3" i="2"/>
  <c r="A3" i="2"/>
  <c r="H2" i="2"/>
  <c r="G2" i="2"/>
  <c r="I2" i="2" s="1"/>
  <c r="A2" i="2"/>
  <c r="A31" i="2" s="1"/>
  <c r="C33" i="1"/>
  <c r="C20" i="1"/>
  <c r="I6" i="2" l="1"/>
  <c r="A14" i="2"/>
  <c r="A25" i="2"/>
  <c r="A35" i="2"/>
  <c r="A40" i="2"/>
  <c r="A19" i="2"/>
  <c r="A30" i="2"/>
  <c r="A4" i="2"/>
  <c r="A5" i="2" s="1"/>
  <c r="A6" i="2" s="1"/>
  <c r="A7" i="2" s="1"/>
  <c r="A8" i="2" s="1"/>
  <c r="A9" i="2" s="1"/>
  <c r="A10" i="2" s="1"/>
  <c r="A11" i="2" s="1"/>
  <c r="A12" i="2"/>
  <c r="A20" i="2"/>
  <c r="A28" i="2"/>
  <c r="A36" i="2"/>
  <c r="A15" i="2"/>
  <c r="A2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3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5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D5" authorId="0" shapeId="0" xr:uid="{00000000-0006-0000-1300-000001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6" authorId="0" shapeId="0" xr:uid="{00000000-0006-0000-1300-000002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8" authorId="0" shapeId="0" xr:uid="{00000000-0006-0000-1300-000003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9" authorId="0" shapeId="0" xr:uid="{00000000-0006-0000-1300-000004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" authorId="0" shapeId="0" xr:uid="{00000000-0006-0000-1300-000005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12" authorId="0" shapeId="0" xr:uid="{00000000-0006-0000-1300-000006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4" authorId="0" shapeId="0" xr:uid="{00000000-0006-0000-1300-000007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5" authorId="0" shapeId="0" xr:uid="{00000000-0006-0000-1300-000008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28" authorId="0" shapeId="0" xr:uid="{00000000-0006-0000-1300-000009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F29" authorId="0" shapeId="0" xr:uid="{00000000-0006-0000-1300-00000A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G31" authorId="0" shapeId="0" xr:uid="{00000000-0006-0000-1300-00000B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G32" authorId="0" shapeId="0" xr:uid="{00000000-0006-0000-1300-00000C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A36" authorId="1" shapeId="0" xr:uid="{00000000-0006-0000-1300-00000D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58" authorId="0" shapeId="0" xr:uid="{00000000-0006-0000-1300-00000E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59" authorId="0" shapeId="0" xr:uid="{00000000-0006-0000-1300-00000F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1" authorId="0" shapeId="0" xr:uid="{00000000-0006-0000-1300-000010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2" authorId="0" shapeId="0" xr:uid="{00000000-0006-0000-1300-000011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64" authorId="0" shapeId="0" xr:uid="{00000000-0006-0000-1300-000012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65" authorId="0" shapeId="0" xr:uid="{00000000-0006-0000-1300-000013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7" authorId="0" shapeId="0" xr:uid="{00000000-0006-0000-1300-000014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8" authorId="0" shapeId="0" xr:uid="{00000000-0006-0000-1300-000015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89" authorId="1" shapeId="0" xr:uid="{00000000-0006-0000-1300-000016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111" authorId="0" shapeId="0" xr:uid="{00000000-0006-0000-1300-000017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112" authorId="0" shapeId="0" xr:uid="{00000000-0006-0000-1300-000018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4" authorId="0" shapeId="0" xr:uid="{00000000-0006-0000-1300-000019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5" authorId="0" shapeId="0" xr:uid="{00000000-0006-0000-1300-00001A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7" authorId="0" shapeId="0" xr:uid="{00000000-0006-0000-1300-00001B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118" authorId="0" shapeId="0" xr:uid="{00000000-0006-0000-1300-00001C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0" authorId="0" shapeId="0" xr:uid="{00000000-0006-0000-1300-00001D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1" authorId="0" shapeId="0" xr:uid="{00000000-0006-0000-1300-00001E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125" authorId="0" shapeId="0" xr:uid="{00000000-0006-0000-1300-00001F000000}">
      <text>
        <r>
          <rPr>
            <sz val="10"/>
            <color rgb="FF000000"/>
            <rFont val="Arial"/>
          </rPr>
          <t>Tharindu Wickramaarachchi:
Upper boundary for the impact means that the point estimate of the OR should be lower</t>
        </r>
      </text>
    </comment>
    <comment ref="A142" authorId="1" shapeId="0" xr:uid="{00000000-0006-0000-1300-000020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A3" authorId="0" shapeId="0" xr:uid="{00000000-0006-0000-1400-000001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4" authorId="0" shapeId="0" xr:uid="{00000000-0006-0000-1400-000002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18" authorId="0" shapeId="0" xr:uid="{00000000-0006-0000-1400-000003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B56" authorId="0" shapeId="0" xr:uid="{00000000-0006-0000-1500-000001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  <comment ref="B65" authorId="0" shapeId="0" xr:uid="{00000000-0006-0000-1500-000002000000}">
      <text>
        <r>
          <rPr>
            <sz val="10"/>
            <color rgb="FF000000"/>
            <rFont val="Arial"/>
          </rPr>
          <t xml:space="preserve">Tharindu Wickramaarachchi:
LiST 6.29
Black RE, Victora CG, Walker SP, et al. Maternal and child undernutrition and overweight in low-income and middle-income countries. Lancet 2013; 382(9890): 427-51. http://www.ncbi.nlm.nih.gov/pubmed/23746772. (Supplementary material - Web Table 17.)
</t>
        </r>
      </text>
    </comment>
    <comment ref="C104" authorId="0" shapeId="0" xr:uid="{00000000-0006-0000-1500-000003000000}">
      <text>
        <r>
          <rPr>
            <sz val="10"/>
            <color rgb="FF000000"/>
            <rFont val="Arial"/>
          </rPr>
          <t>Tharindu Wickramaarachchi:
Spectrum LiST 6.29</t>
        </r>
      </text>
    </comment>
    <comment ref="A220" authorId="0" shapeId="0" xr:uid="{00000000-0006-0000-1500-000004000000}">
      <text>
        <r>
          <rPr>
            <sz val="10"/>
            <color rgb="FF000000"/>
            <rFont val="Arial"/>
          </rPr>
          <t>Tharindu Wickramaarachchi:
All the values should be greater than 1 and above the point estimate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  <author>Tharindu Wickramaarachchi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6" authorId="1" shapeId="0" xr:uid="{00000000-0006-0000-1600-000002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6" authorId="1" shapeId="0" xr:uid="{00000000-0006-0000-1600-000003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7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7" authorId="1" shapeId="0" xr:uid="{00000000-0006-0000-1600-000005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F7" authorId="1" shapeId="0" xr:uid="{00000000-0006-0000-1600-000006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E8" authorId="1" shapeId="0" xr:uid="{00000000-0006-0000-1600-000007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F8" authorId="1" shapeId="0" xr:uid="{00000000-0006-0000-1600-000008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E9" authorId="0" shapeId="0" xr:uid="{00000000-0006-0000-1600-000009000000}">
      <text>
        <r>
          <rPr>
            <sz val="10"/>
            <color rgb="FF000000"/>
            <rFont val="Arial"/>
          </rPr>
          <t xml:space="preserve">Nick Scott:
No statistically significant effect
Imdad et al 2023, RR prevalence of stunting 1.00 (0.94-1.07) 
Lassi et al 2020, incidence of stunting after 6 months RR 0.82 (0.65-1.03) 
Lassi et al 2020, LAZ 6 months SMD 0.06 (-0.07 to 0.19) 
Tam et al 2020, RR 1.00 (0.89-1.14)
</t>
        </r>
      </text>
    </comment>
    <comment ref="C12" authorId="1" shapeId="0" xr:uid="{00000000-0006-0000-1600-00000A000000}">
      <text>
        <r>
          <rPr>
            <sz val="10"/>
            <color rgb="FF000000"/>
            <rFont val="Arial"/>
          </rPr>
          <t>Tharindu Wickramaarachchi:
OR = 1.50 (1.26-1.78) for exclusive breastfeeding in children &lt; 1 month.</t>
        </r>
      </text>
    </comment>
    <comment ref="D12" authorId="1" shapeId="0" xr:uid="{00000000-0006-0000-1600-00000B000000}">
      <text>
        <r>
          <rPr>
            <sz val="10"/>
            <color rgb="FF000000"/>
            <rFont val="Arial"/>
          </rPr>
          <t>Tharindu Wickramaarachchi:
OR = 1.39 (1.11-1.74) for exclusive breastfeeding in children 1-6 months [Boundy et al. 2016, Pediatrics[66]]</t>
        </r>
      </text>
    </comment>
    <comment ref="A28" authorId="1" shapeId="0" xr:uid="{00000000-0006-0000-1600-00000C000000}">
      <text>
        <r>
          <rPr>
            <sz val="10"/>
            <color rgb="FF000000"/>
            <rFont val="Arial"/>
          </rPr>
          <t>Tharindu Wickramaarachchi:
Lower boundary means less effective compared with point estimate. Therefore, these ORs&lt;1 should be increased.</t>
        </r>
      </text>
    </comment>
    <comment ref="B29" authorId="0" shapeId="0" xr:uid="{00000000-0006-0000-1600-00000D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29" authorId="1" shapeId="0" xr:uid="{00000000-0006-0000-1600-00000E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29" authorId="1" shapeId="0" xr:uid="{00000000-0006-0000-1600-00000F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30" authorId="0" shapeId="0" xr:uid="{00000000-0006-0000-1600-000010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30" authorId="1" shapeId="0" xr:uid="{00000000-0006-0000-1600-000011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31" authorId="1" shapeId="0" xr:uid="{00000000-0006-0000-1600-000012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A34" authorId="1" shapeId="0" xr:uid="{00000000-0006-0000-1600-000013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37" authorId="1" shapeId="0" xr:uid="{00000000-0006-0000-1600-000014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B44" authorId="1" shapeId="0" xr:uid="{00000000-0006-0000-1600-000015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51" authorId="1" shapeId="0" xr:uid="{00000000-0006-0000-1600-000016000000}">
      <text>
        <r>
          <rPr>
            <sz val="10"/>
            <color rgb="FF000000"/>
            <rFont val="Arial"/>
          </rPr>
          <t>Tharindu Wickramaarachchi:
ORs which point estimate = 1 should stay the same, ORs with point estimate &lt;1 should be decreased as we expect higher impact</t>
        </r>
      </text>
    </comment>
    <comment ref="B52" authorId="0" shapeId="0" xr:uid="{00000000-0006-0000-1600-000017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52" authorId="1" shapeId="0" xr:uid="{00000000-0006-0000-1600-000018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52" authorId="1" shapeId="0" xr:uid="{00000000-0006-0000-1600-000019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53" authorId="0" shapeId="0" xr:uid="{00000000-0006-0000-1600-00001A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53" authorId="1" shapeId="0" xr:uid="{00000000-0006-0000-1600-00001B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54" authorId="1" shapeId="0" xr:uid="{00000000-0006-0000-1600-00001C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C2" authorId="0" shapeId="0" xr:uid="{00000000-0006-0000-1700-000001000000}">
      <text>
        <r>
          <rPr>
            <sz val="10"/>
            <color rgb="FF000000"/>
            <rFont val="Arial"/>
          </rPr>
          <t>Tharindu Wickramaarachchi:
Lassi et al 2021, RR 0.71 (0.54-0.94)
So effectiveness = 1-0.71=0.29</t>
        </r>
      </text>
    </comment>
    <comment ref="D2" authorId="0" shapeId="0" xr:uid="{00000000-0006-0000-1700-000002000000}">
      <text>
        <r>
          <rPr>
            <sz val="10"/>
            <color rgb="FF000000"/>
            <rFont val="Arial"/>
          </rPr>
          <t>Tharindu Wickramaarachchi:
Lassi et al 2021, RR 0.71 (0.54-0.94)
So effectiveness = 1-0.71=0.29</t>
        </r>
      </text>
    </comment>
    <comment ref="C4" authorId="0" shapeId="0" xr:uid="{00000000-0006-0000-1700-000003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D4" authorId="0" shapeId="0" xr:uid="{00000000-0006-0000-1700-000004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C6" authorId="0" shapeId="0" xr:uid="{00000000-0006-0000-1700-000005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D6" authorId="0" shapeId="0" xr:uid="{00000000-0006-0000-1700-000006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C8" authorId="0" shapeId="0" xr:uid="{00000000-0006-0000-1700-000007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8" authorId="0" shapeId="0" xr:uid="{00000000-0006-0000-1700-000008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10" authorId="0" shapeId="0" xr:uid="{00000000-0006-0000-1700-000009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10" authorId="0" shapeId="0" xr:uid="{00000000-0006-0000-1700-00000A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12" authorId="0" shapeId="0" xr:uid="{00000000-0006-0000-1700-00000B000000}">
      <text>
        <r>
          <rPr>
            <sz val="10"/>
            <color rgb="FF000000"/>
            <rFont val="Arial"/>
          </rPr>
          <t xml:space="preserve">Tharindu Wickramaarachchi:
 Oh et al 2020, RR 0.93 (0.88-0.98) for MMS vs IFAS
</t>
        </r>
      </text>
    </comment>
    <comment ref="D12" authorId="0" shapeId="0" xr:uid="{00000000-0006-0000-1700-00000C000000}">
      <text>
        <r>
          <rPr>
            <sz val="10"/>
            <color rgb="FF000000"/>
            <rFont val="Arial"/>
          </rPr>
          <t xml:space="preserve">Tharindu Wickramaarachchi:
 Oh et al 2020, RR 0.93 (0.88-0.98) for MMS vs IFAS
</t>
        </r>
      </text>
    </comment>
    <comment ref="C17" authorId="0" shapeId="0" xr:uid="{00000000-0006-0000-1700-00000D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D17" authorId="0" shapeId="0" xr:uid="{00000000-0006-0000-1700-00000E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C19" authorId="0" shapeId="0" xr:uid="{00000000-0006-0000-1700-00000F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19" authorId="0" shapeId="0" xr:uid="{00000000-0006-0000-1700-000010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21" authorId="0" shapeId="0" xr:uid="{00000000-0006-0000-1700-000011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21" authorId="0" shapeId="0" xr:uid="{00000000-0006-0000-1700-000012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23" authorId="0" shapeId="0" xr:uid="{00000000-0006-0000-1700-000013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23" authorId="0" shapeId="0" xr:uid="{00000000-0006-0000-1700-000014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25" authorId="0" shapeId="0" xr:uid="{00000000-0006-0000-1700-000015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25" authorId="0" shapeId="0" xr:uid="{00000000-0006-0000-1700-000016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27" authorId="0" shapeId="0" xr:uid="{00000000-0006-0000-1700-000017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27" authorId="0" shapeId="0" xr:uid="{00000000-0006-0000-1700-000018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C32" authorId="0" shapeId="0" xr:uid="{00000000-0006-0000-1700-000019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D32" authorId="0" shapeId="0" xr:uid="{00000000-0006-0000-1700-00001A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C34" authorId="0" shapeId="0" xr:uid="{00000000-0006-0000-1700-00001B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34" authorId="0" shapeId="0" xr:uid="{00000000-0006-0000-1700-00001C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36" authorId="0" shapeId="0" xr:uid="{00000000-0006-0000-1700-00001D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36" authorId="0" shapeId="0" xr:uid="{00000000-0006-0000-1700-00001E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38" authorId="0" shapeId="0" xr:uid="{00000000-0006-0000-1700-00001F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38" authorId="0" shapeId="0" xr:uid="{00000000-0006-0000-1700-000020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40" authorId="0" shapeId="0" xr:uid="{00000000-0006-0000-1700-000021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40" authorId="0" shapeId="0" xr:uid="{00000000-0006-0000-1700-000022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42" authorId="0" shapeId="0" xr:uid="{00000000-0006-0000-1700-000023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42" authorId="0" shapeId="0" xr:uid="{00000000-0006-0000-1700-000024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C3" authorId="0" shapeId="0" xr:uid="{00000000-0006-0000-1800-000001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4" authorId="0" shapeId="0" xr:uid="{00000000-0006-0000-1800-00000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" authorId="0" shapeId="0" xr:uid="{00000000-0006-0000-1800-000003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6" authorId="0" shapeId="0" xr:uid="{00000000-0006-0000-1800-000004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7" authorId="0" shapeId="0" xr:uid="{00000000-0006-0000-1800-000005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L8" authorId="0" shapeId="0" xr:uid="{00000000-0006-0000-1800-000006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8" authorId="0" shapeId="0" xr:uid="{00000000-0006-0000-1800-000007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8" authorId="0" shapeId="0" xr:uid="{00000000-0006-0000-1800-000008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8" authorId="0" shapeId="0" xr:uid="{00000000-0006-0000-1800-000009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9" authorId="0" shapeId="0" xr:uid="{00000000-0006-0000-1800-00000A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9" authorId="0" shapeId="0" xr:uid="{00000000-0006-0000-1800-00000B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9" authorId="0" shapeId="0" xr:uid="{00000000-0006-0000-1800-00000C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9" authorId="0" shapeId="0" xr:uid="{00000000-0006-0000-1800-00000D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10" authorId="0" shapeId="0" xr:uid="{00000000-0006-0000-1800-00000E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M10" authorId="0" shapeId="0" xr:uid="{00000000-0006-0000-1800-00000F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N10" authorId="0" shapeId="0" xr:uid="{00000000-0006-0000-1800-000010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O10" authorId="0" shapeId="0" xr:uid="{00000000-0006-0000-1800-000011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E11" authorId="1" shapeId="0" xr:uid="{00000000-0006-0000-1800-000012000000}">
      <text>
        <r>
          <rPr>
            <sz val="10"/>
            <color rgb="FF000000"/>
            <rFont val="Arial"/>
          </rPr>
          <t>Nick Scott:
Assumption based on micronutrient powders</t>
        </r>
      </text>
    </comment>
    <comment ref="F11" authorId="1" shapeId="0" xr:uid="{00000000-0006-0000-1800-000013000000}">
      <text>
        <r>
          <rPr>
            <sz val="10"/>
            <color rgb="FF000000"/>
            <rFont val="Arial"/>
          </rPr>
          <t>Nick Scott:
Assumption based on micronutrient powders</t>
        </r>
      </text>
    </comment>
    <comment ref="C12" authorId="0" shapeId="0" xr:uid="{00000000-0006-0000-1800-00001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12" authorId="0" shapeId="0" xr:uid="{00000000-0006-0000-1800-00001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2" authorId="0" shapeId="0" xr:uid="{00000000-0006-0000-1800-00001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12" authorId="0" shapeId="0" xr:uid="{00000000-0006-0000-1800-00001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12" authorId="0" shapeId="0" xr:uid="{00000000-0006-0000-1800-00001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12" authorId="0" shapeId="0" xr:uid="{00000000-0006-0000-1800-00001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12" authorId="0" shapeId="0" xr:uid="{00000000-0006-0000-1800-00001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12" authorId="0" shapeId="0" xr:uid="{00000000-0006-0000-1800-00001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12" authorId="0" shapeId="0" xr:uid="{00000000-0006-0000-1800-00001C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12" authorId="0" shapeId="0" xr:uid="{00000000-0006-0000-1800-00001D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12" authorId="0" shapeId="0" xr:uid="{00000000-0006-0000-1800-00001E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12" authorId="0" shapeId="0" xr:uid="{00000000-0006-0000-1800-00001F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12" authorId="0" shapeId="0" xr:uid="{00000000-0006-0000-1800-000020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3" authorId="0" shapeId="0" xr:uid="{00000000-0006-0000-1800-000021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13" authorId="0" shapeId="0" xr:uid="{00000000-0006-0000-1800-000022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13" authorId="0" shapeId="0" xr:uid="{00000000-0006-0000-1800-000023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L14" authorId="1" shapeId="0" xr:uid="{00000000-0006-0000-1800-000024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M14" authorId="1" shapeId="0" xr:uid="{00000000-0006-0000-1800-000025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N14" authorId="1" shapeId="0" xr:uid="{00000000-0006-0000-1800-000026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O14" authorId="1" shapeId="0" xr:uid="{00000000-0006-0000-1800-000027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E15" authorId="0" shapeId="0" xr:uid="{00000000-0006-0000-1800-000028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F15" authorId="0" shapeId="0" xr:uid="{00000000-0006-0000-1800-000029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E18" authorId="0" shapeId="0" xr:uid="{00000000-0006-0000-1800-00002A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19" authorId="0" shapeId="0" xr:uid="{00000000-0006-0000-1800-00002B000000}">
      <text>
        <r>
          <rPr>
            <sz val="10"/>
            <color rgb="FF000000"/>
            <rFont val="Arial"/>
          </rPr>
          <t>Tharindu Wickramaarachchi:
Peña‐Rosas et al 2019, anemia RR 0.72 (0.54-0.97)
If no data for anaemia prev. the use RR otherwise convert RR to OR using prev.</t>
        </r>
      </text>
    </comment>
    <comment ref="E20" authorId="0" shapeId="0" xr:uid="{00000000-0006-0000-1800-00002C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21" authorId="0" shapeId="0" xr:uid="{00000000-0006-0000-1800-00002D000000}">
      <text>
        <r>
          <rPr>
            <sz val="10"/>
            <color rgb="FF000000"/>
            <rFont val="Arial"/>
          </rPr>
          <t>Tharindu Wickramaarachchi:
Larson et al 2021, RR 0.80 (0.70-0.92)
If no data for anaemia prev. the use RR otherwise convert RR to OR using prev.</t>
        </r>
      </text>
    </comment>
    <comment ref="A25" authorId="0" shapeId="0" xr:uid="{00000000-0006-0000-1800-00002E000000}">
      <text>
        <r>
          <rPr>
            <sz val="10"/>
            <color rgb="FF000000"/>
            <rFont val="Arial"/>
          </rPr>
          <t>Tharindu Wickramaarachchi:
RRR should be lower so the values should be greater than point estimate (for less reduction of anaemia)</t>
        </r>
      </text>
    </comment>
    <comment ref="C26" authorId="0" shapeId="0" xr:uid="{00000000-0006-0000-1800-00002F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27" authorId="0" shapeId="0" xr:uid="{00000000-0006-0000-1800-000030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28" authorId="0" shapeId="0" xr:uid="{00000000-0006-0000-1800-000031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29" authorId="0" shapeId="0" xr:uid="{00000000-0006-0000-1800-00003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30" authorId="0" shapeId="0" xr:uid="{00000000-0006-0000-1800-000033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L31" authorId="0" shapeId="0" xr:uid="{00000000-0006-0000-1800-000034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31" authorId="0" shapeId="0" xr:uid="{00000000-0006-0000-1800-000035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31" authorId="0" shapeId="0" xr:uid="{00000000-0006-0000-1800-000036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31" authorId="0" shapeId="0" xr:uid="{00000000-0006-0000-1800-000037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32" authorId="0" shapeId="0" xr:uid="{00000000-0006-0000-1800-000038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32" authorId="0" shapeId="0" xr:uid="{00000000-0006-0000-1800-000039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32" authorId="0" shapeId="0" xr:uid="{00000000-0006-0000-1800-00003A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32" authorId="0" shapeId="0" xr:uid="{00000000-0006-0000-1800-00003B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33" authorId="0" shapeId="0" xr:uid="{00000000-0006-0000-1800-00003C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M33" authorId="0" shapeId="0" xr:uid="{00000000-0006-0000-1800-00003D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N33" authorId="0" shapeId="0" xr:uid="{00000000-0006-0000-1800-00003E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O33" authorId="0" shapeId="0" xr:uid="{00000000-0006-0000-1800-00003F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C35" authorId="0" shapeId="0" xr:uid="{00000000-0006-0000-1800-000040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35" authorId="0" shapeId="0" xr:uid="{00000000-0006-0000-1800-000041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35" authorId="0" shapeId="0" xr:uid="{00000000-0006-0000-1800-000042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35" authorId="0" shapeId="0" xr:uid="{00000000-0006-0000-1800-000043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35" authorId="0" shapeId="0" xr:uid="{00000000-0006-0000-1800-00004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35" authorId="0" shapeId="0" xr:uid="{00000000-0006-0000-1800-00004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35" authorId="0" shapeId="0" xr:uid="{00000000-0006-0000-1800-00004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35" authorId="0" shapeId="0" xr:uid="{00000000-0006-0000-1800-00004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35" authorId="0" shapeId="0" xr:uid="{00000000-0006-0000-1800-00004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35" authorId="0" shapeId="0" xr:uid="{00000000-0006-0000-1800-00004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35" authorId="0" shapeId="0" xr:uid="{00000000-0006-0000-1800-00004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35" authorId="0" shapeId="0" xr:uid="{00000000-0006-0000-1800-00004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35" authorId="0" shapeId="0" xr:uid="{00000000-0006-0000-1800-00004C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36" authorId="0" shapeId="0" xr:uid="{00000000-0006-0000-1800-00004D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36" authorId="0" shapeId="0" xr:uid="{00000000-0006-0000-1800-00004E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36" authorId="0" shapeId="0" xr:uid="{00000000-0006-0000-1800-00004F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E38" authorId="0" shapeId="0" xr:uid="{00000000-0006-0000-1800-000050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F38" authorId="0" shapeId="0" xr:uid="{00000000-0006-0000-1800-000051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C49" authorId="0" shapeId="0" xr:uid="{00000000-0006-0000-1800-000052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50" authorId="0" shapeId="0" xr:uid="{00000000-0006-0000-1800-000053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0" authorId="0" shapeId="0" xr:uid="{00000000-0006-0000-1800-000054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0" authorId="0" shapeId="0" xr:uid="{00000000-0006-0000-1800-000055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0" authorId="0" shapeId="0" xr:uid="{00000000-0006-0000-1800-000056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1" authorId="0" shapeId="0" xr:uid="{00000000-0006-0000-1800-000057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1" authorId="0" shapeId="0" xr:uid="{00000000-0006-0000-1800-000058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1" authorId="0" shapeId="0" xr:uid="{00000000-0006-0000-1800-000059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1" authorId="0" shapeId="0" xr:uid="{00000000-0006-0000-1800-00005A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2" authorId="0" shapeId="0" xr:uid="{00000000-0006-0000-1800-00005B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2" authorId="0" shapeId="0" xr:uid="{00000000-0006-0000-1800-00005C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2" authorId="0" shapeId="0" xr:uid="{00000000-0006-0000-1800-00005D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2" authorId="0" shapeId="0" xr:uid="{00000000-0006-0000-1800-00005E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3" authorId="0" shapeId="0" xr:uid="{00000000-0006-0000-1800-00005F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3" authorId="0" shapeId="0" xr:uid="{00000000-0006-0000-1800-000060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3" authorId="0" shapeId="0" xr:uid="{00000000-0006-0000-1800-000061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3" authorId="0" shapeId="0" xr:uid="{00000000-0006-0000-1800-00006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L54" authorId="0" shapeId="0" xr:uid="{00000000-0006-0000-1800-000063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54" authorId="0" shapeId="0" xr:uid="{00000000-0006-0000-1800-000064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54" authorId="0" shapeId="0" xr:uid="{00000000-0006-0000-1800-000065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54" authorId="0" shapeId="0" xr:uid="{00000000-0006-0000-1800-000066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55" authorId="0" shapeId="0" xr:uid="{00000000-0006-0000-1800-000067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55" authorId="0" shapeId="0" xr:uid="{00000000-0006-0000-1800-000068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55" authorId="0" shapeId="0" xr:uid="{00000000-0006-0000-1800-000069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55" authorId="0" shapeId="0" xr:uid="{00000000-0006-0000-1800-00006A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56" authorId="0" shapeId="0" xr:uid="{00000000-0006-0000-1800-00006B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M56" authorId="0" shapeId="0" xr:uid="{00000000-0006-0000-1800-00006C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N56" authorId="0" shapeId="0" xr:uid="{00000000-0006-0000-1800-00006D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O56" authorId="0" shapeId="0" xr:uid="{00000000-0006-0000-1800-00006E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C58" authorId="0" shapeId="0" xr:uid="{00000000-0006-0000-1800-00006F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58" authorId="0" shapeId="0" xr:uid="{00000000-0006-0000-1800-000070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58" authorId="0" shapeId="0" xr:uid="{00000000-0006-0000-1800-000071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58" authorId="0" shapeId="0" xr:uid="{00000000-0006-0000-1800-000072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58" authorId="0" shapeId="0" xr:uid="{00000000-0006-0000-1800-000073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58" authorId="0" shapeId="0" xr:uid="{00000000-0006-0000-1800-00007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58" authorId="0" shapeId="0" xr:uid="{00000000-0006-0000-1800-00007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58" authorId="0" shapeId="0" xr:uid="{00000000-0006-0000-1800-00007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58" authorId="0" shapeId="0" xr:uid="{00000000-0006-0000-1800-00007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58" authorId="0" shapeId="0" xr:uid="{00000000-0006-0000-1800-00007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58" authorId="0" shapeId="0" xr:uid="{00000000-0006-0000-1800-00007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58" authorId="0" shapeId="0" xr:uid="{00000000-0006-0000-1800-00007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58" authorId="0" shapeId="0" xr:uid="{00000000-0006-0000-1800-00007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59" authorId="0" shapeId="0" xr:uid="{00000000-0006-0000-1800-00007C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59" authorId="0" shapeId="0" xr:uid="{00000000-0006-0000-1800-00007D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59" authorId="0" shapeId="0" xr:uid="{00000000-0006-0000-1800-00007E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E61" authorId="0" shapeId="0" xr:uid="{00000000-0006-0000-1800-00007F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F61" authorId="0" shapeId="0" xr:uid="{00000000-0006-0000-1800-000080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900-000001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3" authorId="0" shapeId="0" xr:uid="{00000000-0006-0000-1900-000002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3" authorId="0" shapeId="0" xr:uid="{00000000-0006-0000-1900-000003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3" authorId="0" shapeId="0" xr:uid="{00000000-0006-0000-1900-000004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5" authorId="0" shapeId="0" xr:uid="{00000000-0006-0000-1900-000005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5" authorId="0" shapeId="0" xr:uid="{00000000-0006-0000-1900-000006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5" authorId="0" shapeId="0" xr:uid="{00000000-0006-0000-1900-000007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5" authorId="0" shapeId="0" xr:uid="{00000000-0006-0000-1900-000008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0" authorId="0" shapeId="0" xr:uid="{00000000-0006-0000-1900-000009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0" authorId="0" shapeId="0" xr:uid="{00000000-0006-0000-1900-00000A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0" authorId="0" shapeId="0" xr:uid="{00000000-0006-0000-1900-00000B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0" authorId="0" shapeId="0" xr:uid="{00000000-0006-0000-1900-00000C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2" authorId="0" shapeId="0" xr:uid="{00000000-0006-0000-1900-00000D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2" authorId="0" shapeId="0" xr:uid="{00000000-0006-0000-1900-00000E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2" authorId="0" shapeId="0" xr:uid="{00000000-0006-0000-1900-00000F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2" authorId="0" shapeId="0" xr:uid="{00000000-0006-0000-1900-000010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7" authorId="0" shapeId="0" xr:uid="{00000000-0006-0000-1900-000011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7" authorId="0" shapeId="0" xr:uid="{00000000-0006-0000-1900-000012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7" authorId="0" shapeId="0" xr:uid="{00000000-0006-0000-1900-000013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7" authorId="0" shapeId="0" xr:uid="{00000000-0006-0000-1900-000014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9" authorId="0" shapeId="0" xr:uid="{00000000-0006-0000-1900-000015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9" authorId="0" shapeId="0" xr:uid="{00000000-0006-0000-1900-000016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9" authorId="0" shapeId="0" xr:uid="{00000000-0006-0000-1900-000017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9" authorId="0" shapeId="0" xr:uid="{00000000-0006-0000-1900-000018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F3" authorId="0" shapeId="0" xr:uid="{00000000-0006-0000-1A00-000001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3" authorId="0" shapeId="0" xr:uid="{00000000-0006-0000-1A00-000002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3" authorId="0" shapeId="0" xr:uid="{00000000-0006-0000-1A00-000003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4" authorId="0" shapeId="0" xr:uid="{00000000-0006-0000-1A00-000004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4" authorId="0" shapeId="0" xr:uid="{00000000-0006-0000-1A00-000005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4" authorId="0" shapeId="0" xr:uid="{00000000-0006-0000-1A00-000006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" authorId="1" shapeId="0" xr:uid="{00000000-0006-0000-1A00-000007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" authorId="1" shapeId="0" xr:uid="{00000000-0006-0000-1A00-000008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8" authorId="1" shapeId="0" xr:uid="{00000000-0006-0000-1A00-000009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8" authorId="1" shapeId="0" xr:uid="{00000000-0006-0000-1A00-00000A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0" authorId="1" shapeId="0" xr:uid="{00000000-0006-0000-1A00-00000B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0" authorId="1" shapeId="0" xr:uid="{00000000-0006-0000-1A00-00000C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" authorId="1" shapeId="0" xr:uid="{00000000-0006-0000-1A00-00000D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" authorId="1" shapeId="0" xr:uid="{00000000-0006-0000-1A00-00000E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4" authorId="0" shapeId="0" xr:uid="{00000000-0006-0000-1A00-00000F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14" authorId="0" shapeId="0" xr:uid="{00000000-0006-0000-1A00-000010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16" authorId="0" shapeId="0" xr:uid="{00000000-0006-0000-1A00-000011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16" authorId="0" shapeId="0" xr:uid="{00000000-0006-0000-1A00-000012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8" authorId="0" shapeId="0" xr:uid="{00000000-0006-0000-1A00-000013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G18" authorId="0" shapeId="0" xr:uid="{00000000-0006-0000-1A00-000014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H18" authorId="0" shapeId="0" xr:uid="{00000000-0006-0000-1A00-000015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F20" authorId="0" shapeId="0" xr:uid="{00000000-0006-0000-1A00-000016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G20" authorId="0" shapeId="0" xr:uid="{00000000-0006-0000-1A00-000017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H20" authorId="0" shapeId="0" xr:uid="{00000000-0006-0000-1A00-000018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D22" authorId="0" shapeId="0" xr:uid="{00000000-0006-0000-1A00-000019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4" authorId="0" shapeId="0" xr:uid="{00000000-0006-0000-1A00-00001A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6" authorId="0" shapeId="0" xr:uid="{00000000-0006-0000-1A00-00001B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43" authorId="0" shapeId="0" xr:uid="{00000000-0006-0000-1A00-00001C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E43" authorId="0" shapeId="0" xr:uid="{00000000-0006-0000-1A00-00001D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F43" authorId="0" shapeId="0" xr:uid="{00000000-0006-0000-1A00-00001E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G43" authorId="0" shapeId="0" xr:uid="{00000000-0006-0000-1A00-00001F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H43" authorId="0" shapeId="0" xr:uid="{00000000-0006-0000-1A00-000020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D44" authorId="0" shapeId="0" xr:uid="{00000000-0006-0000-1A00-00002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44" authorId="0" shapeId="0" xr:uid="{00000000-0006-0000-1A00-00002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44" authorId="0" shapeId="0" xr:uid="{00000000-0006-0000-1A00-00002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44" authorId="0" shapeId="0" xr:uid="{00000000-0006-0000-1A00-00002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44" authorId="0" shapeId="0" xr:uid="{00000000-0006-0000-1A00-00002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47" authorId="0" shapeId="0" xr:uid="{00000000-0006-0000-1A00-000026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E47" authorId="0" shapeId="0" xr:uid="{00000000-0006-0000-1A00-000027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F47" authorId="0" shapeId="0" xr:uid="{00000000-0006-0000-1A00-000028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G47" authorId="0" shapeId="0" xr:uid="{00000000-0006-0000-1A00-000029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H47" authorId="0" shapeId="0" xr:uid="{00000000-0006-0000-1A00-00002A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D49" authorId="0" shapeId="0" xr:uid="{00000000-0006-0000-1A00-00002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49" authorId="0" shapeId="0" xr:uid="{00000000-0006-0000-1A00-00002C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49" authorId="0" shapeId="0" xr:uid="{00000000-0006-0000-1A00-00002D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49" authorId="0" shapeId="0" xr:uid="{00000000-0006-0000-1A00-00002E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49" authorId="0" shapeId="0" xr:uid="{00000000-0006-0000-1A00-00002F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51" authorId="0" shapeId="0" xr:uid="{00000000-0006-0000-1A00-00003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51" authorId="0" shapeId="0" xr:uid="{00000000-0006-0000-1A00-000031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51" authorId="0" shapeId="0" xr:uid="{00000000-0006-0000-1A00-000032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51" authorId="0" shapeId="0" xr:uid="{00000000-0006-0000-1A00-000033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51" authorId="0" shapeId="0" xr:uid="{00000000-0006-0000-1A00-000034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D53" authorId="1" shapeId="0" xr:uid="{00000000-0006-0000-1A00-000035000000}">
      <text>
        <r>
          <rPr>
            <sz val="10"/>
            <color rgb="FF000000"/>
            <rFont val="Arial"/>
          </rPr>
          <t>Nick Scott:
RRR = 0.49 (0.29-0.82) for mortality due to prematurity [Lawn et al. 2010, I J Emi 2010[67]]</t>
        </r>
      </text>
    </comment>
    <comment ref="F58" authorId="0" shapeId="0" xr:uid="{00000000-0006-0000-1A00-000036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58" authorId="0" shapeId="0" xr:uid="{00000000-0006-0000-1A00-000037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58" authorId="0" shapeId="0" xr:uid="{00000000-0006-0000-1A00-000038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59" authorId="0" shapeId="0" xr:uid="{00000000-0006-0000-1A00-000039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59" authorId="0" shapeId="0" xr:uid="{00000000-0006-0000-1A00-00003A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59" authorId="0" shapeId="0" xr:uid="{00000000-0006-0000-1A00-00003B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1" authorId="1" shapeId="0" xr:uid="{00000000-0006-0000-1A00-00003C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1" authorId="1" shapeId="0" xr:uid="{00000000-0006-0000-1A00-00003D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63" authorId="1" shapeId="0" xr:uid="{00000000-0006-0000-1A00-00003E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3" authorId="1" shapeId="0" xr:uid="{00000000-0006-0000-1A00-00003F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65" authorId="1" shapeId="0" xr:uid="{00000000-0006-0000-1A00-000040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65" authorId="1" shapeId="0" xr:uid="{00000000-0006-0000-1A00-000041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67" authorId="1" shapeId="0" xr:uid="{00000000-0006-0000-1A00-000042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67" authorId="1" shapeId="0" xr:uid="{00000000-0006-0000-1A00-000043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69" authorId="0" shapeId="0" xr:uid="{00000000-0006-0000-1A00-000044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69" authorId="0" shapeId="0" xr:uid="{00000000-0006-0000-1A00-000045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71" authorId="0" shapeId="0" xr:uid="{00000000-0006-0000-1A00-000046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71" authorId="0" shapeId="0" xr:uid="{00000000-0006-0000-1A00-000047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73" authorId="0" shapeId="0" xr:uid="{00000000-0006-0000-1A00-000048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G73" authorId="0" shapeId="0" xr:uid="{00000000-0006-0000-1A00-000049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H73" authorId="0" shapeId="0" xr:uid="{00000000-0006-0000-1A00-00004A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F75" authorId="0" shapeId="0" xr:uid="{00000000-0006-0000-1A00-00004B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G75" authorId="0" shapeId="0" xr:uid="{00000000-0006-0000-1A00-00004C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H75" authorId="0" shapeId="0" xr:uid="{00000000-0006-0000-1A00-00004D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D77" authorId="0" shapeId="0" xr:uid="{00000000-0006-0000-1A00-00004E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79" authorId="0" shapeId="0" xr:uid="{00000000-0006-0000-1A00-00004F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81" authorId="0" shapeId="0" xr:uid="{00000000-0006-0000-1A00-000050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99" authorId="0" shapeId="0" xr:uid="{00000000-0006-0000-1A00-00005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99" authorId="0" shapeId="0" xr:uid="{00000000-0006-0000-1A00-00005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99" authorId="0" shapeId="0" xr:uid="{00000000-0006-0000-1A00-00005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99" authorId="0" shapeId="0" xr:uid="{00000000-0006-0000-1A00-00005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99" authorId="0" shapeId="0" xr:uid="{00000000-0006-0000-1A00-00005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102" authorId="0" shapeId="0" xr:uid="{00000000-0006-0000-1A00-000056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E102" authorId="0" shapeId="0" xr:uid="{00000000-0006-0000-1A00-000057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F102" authorId="0" shapeId="0" xr:uid="{00000000-0006-0000-1A00-000058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G102" authorId="0" shapeId="0" xr:uid="{00000000-0006-0000-1A00-000059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H102" authorId="0" shapeId="0" xr:uid="{00000000-0006-0000-1A00-00005A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D104" authorId="0" shapeId="0" xr:uid="{00000000-0006-0000-1A00-00005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104" authorId="0" shapeId="0" xr:uid="{00000000-0006-0000-1A00-00005C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104" authorId="0" shapeId="0" xr:uid="{00000000-0006-0000-1A00-00005D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104" authorId="0" shapeId="0" xr:uid="{00000000-0006-0000-1A00-00005E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104" authorId="0" shapeId="0" xr:uid="{00000000-0006-0000-1A00-00005F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106" authorId="0" shapeId="0" xr:uid="{00000000-0006-0000-1A00-00006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106" authorId="0" shapeId="0" xr:uid="{00000000-0006-0000-1A00-000061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106" authorId="0" shapeId="0" xr:uid="{00000000-0006-0000-1A00-000062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106" authorId="0" shapeId="0" xr:uid="{00000000-0006-0000-1A00-000063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106" authorId="0" shapeId="0" xr:uid="{00000000-0006-0000-1A00-000064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D108" authorId="1" shapeId="0" xr:uid="{00000000-0006-0000-1A00-000065000000}">
      <text>
        <r>
          <rPr>
            <sz val="10"/>
            <color rgb="FF000000"/>
            <rFont val="Arial"/>
          </rPr>
          <t>Nick Scott:
RRR = 0.49 (0.29-0.82) for mortality due to prematurity [Lawn et al. 2010, I J Emi 2010[67]]</t>
        </r>
      </text>
    </comment>
    <comment ref="F113" authorId="0" shapeId="0" xr:uid="{00000000-0006-0000-1A00-000066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113" authorId="0" shapeId="0" xr:uid="{00000000-0006-0000-1A00-000067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113" authorId="0" shapeId="0" xr:uid="{00000000-0006-0000-1A00-000068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114" authorId="0" shapeId="0" xr:uid="{00000000-0006-0000-1A00-000069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114" authorId="0" shapeId="0" xr:uid="{00000000-0006-0000-1A00-00006A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114" authorId="0" shapeId="0" xr:uid="{00000000-0006-0000-1A00-00006B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116" authorId="1" shapeId="0" xr:uid="{00000000-0006-0000-1A00-00006C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116" authorId="1" shapeId="0" xr:uid="{00000000-0006-0000-1A00-00006D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18" authorId="1" shapeId="0" xr:uid="{00000000-0006-0000-1A00-00006E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118" authorId="1" shapeId="0" xr:uid="{00000000-0006-0000-1A00-00006F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20" authorId="1" shapeId="0" xr:uid="{00000000-0006-0000-1A00-000070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0" authorId="1" shapeId="0" xr:uid="{00000000-0006-0000-1A00-000071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2" authorId="1" shapeId="0" xr:uid="{00000000-0006-0000-1A00-000072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2" authorId="1" shapeId="0" xr:uid="{00000000-0006-0000-1A00-000073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4" authorId="0" shapeId="0" xr:uid="{00000000-0006-0000-1A00-000074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124" authorId="0" shapeId="0" xr:uid="{00000000-0006-0000-1A00-000075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126" authorId="0" shapeId="0" xr:uid="{00000000-0006-0000-1A00-000076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126" authorId="0" shapeId="0" xr:uid="{00000000-0006-0000-1A00-000077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28" authorId="0" shapeId="0" xr:uid="{00000000-0006-0000-1A00-000078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G128" authorId="0" shapeId="0" xr:uid="{00000000-0006-0000-1A00-000079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H128" authorId="0" shapeId="0" xr:uid="{00000000-0006-0000-1A00-00007A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F130" authorId="0" shapeId="0" xr:uid="{00000000-0006-0000-1A00-00007B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G130" authorId="0" shapeId="0" xr:uid="{00000000-0006-0000-1A00-00007C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H130" authorId="0" shapeId="0" xr:uid="{00000000-0006-0000-1A00-00007D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D132" authorId="0" shapeId="0" xr:uid="{00000000-0006-0000-1A00-00007E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134" authorId="0" shapeId="0" xr:uid="{00000000-0006-0000-1A00-00007F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136" authorId="0" shapeId="0" xr:uid="{00000000-0006-0000-1A00-000080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154" authorId="0" shapeId="0" xr:uid="{00000000-0006-0000-1A00-00008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154" authorId="0" shapeId="0" xr:uid="{00000000-0006-0000-1A00-00008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154" authorId="0" shapeId="0" xr:uid="{00000000-0006-0000-1A00-00008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154" authorId="0" shapeId="0" xr:uid="{00000000-0006-0000-1A00-00008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154" authorId="0" shapeId="0" xr:uid="{00000000-0006-0000-1A00-00008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157" authorId="0" shapeId="0" xr:uid="{00000000-0006-0000-1A00-000086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E157" authorId="0" shapeId="0" xr:uid="{00000000-0006-0000-1A00-000087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F157" authorId="0" shapeId="0" xr:uid="{00000000-0006-0000-1A00-000088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G157" authorId="0" shapeId="0" xr:uid="{00000000-0006-0000-1A00-000089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H157" authorId="0" shapeId="0" xr:uid="{00000000-0006-0000-1A00-00008A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D159" authorId="0" shapeId="0" xr:uid="{00000000-0006-0000-1A00-00008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159" authorId="0" shapeId="0" xr:uid="{00000000-0006-0000-1A00-00008C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159" authorId="0" shapeId="0" xr:uid="{00000000-0006-0000-1A00-00008D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159" authorId="0" shapeId="0" xr:uid="{00000000-0006-0000-1A00-00008E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159" authorId="0" shapeId="0" xr:uid="{00000000-0006-0000-1A00-00008F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161" authorId="0" shapeId="0" xr:uid="{00000000-0006-0000-1A00-00009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161" authorId="0" shapeId="0" xr:uid="{00000000-0006-0000-1A00-000091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161" authorId="0" shapeId="0" xr:uid="{00000000-0006-0000-1A00-000092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161" authorId="0" shapeId="0" xr:uid="{00000000-0006-0000-1A00-000093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161" authorId="0" shapeId="0" xr:uid="{00000000-0006-0000-1A00-000094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D163" authorId="1" shapeId="0" xr:uid="{00000000-0006-0000-1A00-000095000000}">
      <text>
        <r>
          <rPr>
            <sz val="10"/>
            <color rgb="FF000000"/>
            <rFont val="Arial"/>
          </rPr>
          <t>Nick Scott:
RRR = 0.49 (0.29-0.82) for mortality due to prematurity [Lawn et al. 2010, I J Emi 2010[67]]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B00-000001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3" authorId="0" shapeId="0" xr:uid="{00000000-0006-0000-1B00-000002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3" authorId="0" shapeId="0" xr:uid="{00000000-0006-0000-1B00-000003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3" authorId="0" shapeId="0" xr:uid="{00000000-0006-0000-1B00-000004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D5" authorId="0" shapeId="0" xr:uid="{00000000-0006-0000-1B00-000005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E5" authorId="0" shapeId="0" xr:uid="{00000000-0006-0000-1B00-000006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F5" authorId="0" shapeId="0" xr:uid="{00000000-0006-0000-1B00-000007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G5" authorId="0" shapeId="0" xr:uid="{00000000-0006-0000-1B00-000008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D7" authorId="0" shapeId="0" xr:uid="{00000000-0006-0000-1B00-000009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E7" authorId="0" shapeId="0" xr:uid="{00000000-0006-0000-1B00-00000A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F7" authorId="0" shapeId="0" xr:uid="{00000000-0006-0000-1B00-00000B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G7" authorId="0" shapeId="0" xr:uid="{00000000-0006-0000-1B00-00000C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D12" authorId="0" shapeId="0" xr:uid="{00000000-0006-0000-1B00-00000D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12" authorId="0" shapeId="0" xr:uid="{00000000-0006-0000-1B00-00000E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12" authorId="0" shapeId="0" xr:uid="{00000000-0006-0000-1B00-00000F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12" authorId="0" shapeId="0" xr:uid="{00000000-0006-0000-1B00-000010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D21" authorId="0" shapeId="0" xr:uid="{00000000-0006-0000-1B00-000011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21" authorId="0" shapeId="0" xr:uid="{00000000-0006-0000-1B00-000012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21" authorId="0" shapeId="0" xr:uid="{00000000-0006-0000-1B00-000013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21" authorId="0" shapeId="0" xr:uid="{00000000-0006-0000-1B00-000014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</commentList>
</comments>
</file>

<file path=xl/sharedStrings.xml><?xml version="1.0" encoding="utf-8"?>
<sst xmlns="http://schemas.openxmlformats.org/spreadsheetml/2006/main" count="2092" uniqueCount="337">
  <si>
    <t>Field</t>
  </si>
  <si>
    <t>Causes</t>
  </si>
  <si>
    <t>Sepsis</t>
  </si>
  <si>
    <t>Population</t>
  </si>
  <si>
    <t>Type</t>
  </si>
  <si>
    <t>x</t>
  </si>
  <si>
    <t>Extension</t>
  </si>
  <si>
    <t>Condition</t>
  </si>
  <si>
    <t>Distribution</t>
  </si>
  <si>
    <t>Implant</t>
  </si>
  <si>
    <t>Normal</t>
  </si>
  <si>
    <t>N/A</t>
  </si>
  <si>
    <t>Outcome</t>
  </si>
  <si>
    <t>Données de l'année de référence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</si>
  <si>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</si>
  <si>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</si>
  <si>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</si>
  <si>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</si>
  <si>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</si>
  <si>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</si>
  <si>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</si>
  <si>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</si>
  <si>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</si>
  <si>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</si>
  <si>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</si>
  <si>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</si>
  <si>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</si>
  <si>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</si>
  <si>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</si>
  <si>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</si>
  <si>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</si>
  <si>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</si>
  <si>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</si>
  <si>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</si>
  <si>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</si>
  <si>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</si>
  <si>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</si>
  <si>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</si>
  <si>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</si>
  <si>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</si>
  <si>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</si>
  <si>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</si>
  <si>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</si>
  <si>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</si>
  <si>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</si>
  <si>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</si>
  <si>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</si>
  <si>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</si>
  <si>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</si>
  <si>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</si>
  <si>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</si>
  <si>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</si>
  <si>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</si>
  <si>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</si>
  <si>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</si>
  <si>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</si>
  <si>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</si>
  <si>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</si>
  <si>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</si>
  <si>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</si>
  <si>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</si>
  <si>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</si>
  <si>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</si>
  <si>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</si>
  <si>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</si>
  <si>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</si>
  <si>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Données</t>
  </si>
  <si>
    <t>Insuffisance pondérale à la naissance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</si>
  <si>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</si>
  <si>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</si>
  <si>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</si>
  <si>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</si>
  <si>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</si>
  <si>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</si>
  <si>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</si>
  <si>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</si>
  <si>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année</t>
  </si>
  <si>
    <t>Néonatal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</si>
  <si>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</si>
  <si>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</si>
  <si>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</si>
  <si>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</si>
  <si>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</si>
  <si>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</si>
  <si>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</si>
  <si>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</si>
  <si>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</si>
  <si>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</si>
  <si>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</si>
  <si>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</si>
  <si>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</si>
  <si>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</si>
  <si>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</si>
  <si>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</si>
  <si>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</si>
  <si>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</si>
  <si>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1-5 mois</t>
  </si>
  <si>
    <t>6-11 mois</t>
  </si>
  <si>
    <t>12-23 mois</t>
  </si>
  <si>
    <t>24-59 mois</t>
  </si>
  <si>
    <t>Femmes enceintes</t>
  </si>
  <si>
    <t>Hémorragie antepartum</t>
  </si>
  <si>
    <t>Hémorragie intra-partum</t>
  </si>
  <si>
    <t>Hémorragie du post-partum</t>
  </si>
  <si>
    <t>Troubles hypertensifs</t>
  </si>
  <si>
    <t>Avortement</t>
  </si>
  <si>
    <t>Embolie</t>
  </si>
  <si>
    <t>Autres causes directes</t>
  </si>
  <si>
    <t>Causes indirectes</t>
  </si>
  <si>
    <t>&lt;1 mois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</si>
  <si>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</si>
  <si>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</si>
  <si>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</si>
  <si>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</si>
  <si>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</si>
  <si>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</si>
  <si>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</si>
  <si>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</si>
  <si>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</si>
  <si>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</si>
  <si>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</si>
  <si>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</si>
  <si>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</si>
  <si>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</si>
  <si>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</si>
  <si>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</si>
  <si>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</si>
  <si>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</si>
  <si>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</si>
  <si>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</si>
  <si>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</si>
  <si>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</si>
  <si>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</si>
  <si>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</si>
  <si>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Prévalence du retard de croissance (%)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</si>
  <si>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</si>
  <si>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</si>
  <si>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</si>
  <si>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</si>
  <si>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</si>
  <si>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</si>
  <si>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</si>
  <si>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</si>
  <si>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Enfants âgés de 0 à 59 mois</t>
  </si>
  <si>
    <t>Coût</t>
  </si>
  <si>
    <t>Épisode d'émaciation d'un enfant</t>
  </si>
  <si>
    <t>Décès d'enfant</t>
  </si>
  <si>
    <t>Décès maternel</t>
  </si>
  <si>
    <t>Enfant anémique (par an)</t>
  </si>
  <si>
    <t>Femme enceinte anémique (par grossesse)</t>
  </si>
  <si>
    <t>Enfant souffrant d'un retard de croissance qui aura 5 ans (au cours de sa vie)</t>
  </si>
  <si>
    <t>Paquet ANJE</t>
  </si>
  <si>
    <t>Population cible</t>
  </si>
  <si>
    <t>Établissement de santé</t>
  </si>
  <si>
    <t>Communautaire</t>
  </si>
  <si>
    <t>Médias de masse</t>
  </si>
  <si>
    <t>Tous</t>
  </si>
  <si>
    <t>ANJE 1</t>
  </si>
  <si>
    <t>ANJE 2</t>
  </si>
  <si>
    <t>ANJE 3</t>
  </si>
  <si>
    <t>Programme</t>
  </si>
  <si>
    <t>Traitement de la MAS</t>
  </si>
  <si>
    <t>Défaut</t>
  </si>
  <si>
    <t>Ajouter une extension</t>
  </si>
  <si>
    <t>Mode de livraison</t>
  </si>
  <si>
    <t>Gestion de la MAM</t>
  </si>
  <si>
    <t>Couverture à saturation de la population cible</t>
  </si>
  <si>
    <t>Relation coût-couverture</t>
  </si>
  <si>
    <t>Supplémentation équilibrée en énergie et en protéines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</si>
  <si>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</si>
  <si>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</si>
  <si>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</si>
  <si>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</si>
  <si>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</si>
  <si>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</si>
  <si>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</si>
  <si>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</si>
  <si>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</si>
  <si>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</si>
  <si>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</si>
  <si>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</si>
  <si>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</si>
  <si>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</si>
  <si>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</si>
  <si>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</si>
  <si>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</si>
  <si>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</si>
  <si>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</si>
  <si>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</si>
  <si>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</si>
  <si>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</si>
  <si>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</si>
  <si>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</si>
  <si>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</si>
  <si>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</si>
  <si>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</si>
  <si>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</si>
  <si>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</si>
  <si>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</si>
  <si>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</si>
  <si>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</si>
  <si>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Linéaire (coût marginal constant) [par défaut].</t>
  </si>
  <si>
    <t>Coût à l'unité (US$)</t>
  </si>
  <si>
    <t>Augmentation maximale par an</t>
  </si>
  <si>
    <t>Réduction maximale par an</t>
  </si>
  <si>
    <t>Petite quantité de supplémentation en nutriments à base de lipides</t>
  </si>
  <si>
    <t>Dépendance d'exclusion</t>
  </si>
  <si>
    <t>Dépendance de seuil</t>
  </si>
  <si>
    <t>MAS</t>
  </si>
  <si>
    <t>MM</t>
  </si>
  <si>
    <t>Population générale</t>
  </si>
  <si>
    <t>Groupe général de la population</t>
  </si>
  <si>
    <t>Courbe avec coût marginal croissant</t>
  </si>
  <si>
    <t>Courbe avec coût marginal décroissant</t>
  </si>
  <si>
    <t>En forme de S (coût marginal décroissant puis croissant)</t>
  </si>
  <si>
    <t>Efficacité</t>
  </si>
  <si>
    <t>Méthode</t>
  </si>
  <si>
    <t>Préservatif</t>
  </si>
  <si>
    <t>Stérilisation masculine</t>
  </si>
  <si>
    <t>Stérilisation féminine</t>
  </si>
  <si>
    <t>Injection Depo Provera</t>
  </si>
  <si>
    <t>Pilule</t>
  </si>
  <si>
    <t>Retrait</t>
  </si>
  <si>
    <t>Sensibilisation à la fertilité</t>
  </si>
  <si>
    <t>DIU</t>
  </si>
  <si>
    <t>Coût proportionnel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</si>
  <si>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</si>
  <si>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</si>
  <si>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</si>
  <si>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</si>
  <si>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</si>
  <si>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</si>
  <si>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</si>
  <si>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</si>
  <si>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</si>
  <si>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</si>
  <si>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</si>
  <si>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</si>
  <si>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</si>
  <si>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</si>
  <si>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</si>
  <si>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</si>
  <si>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</si>
  <si>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</si>
  <si>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</si>
  <si>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</si>
  <si>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</si>
  <si>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</si>
  <si>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</si>
  <si>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Rapport des cotes pour les femmes avec l'anémie maternelle</t>
  </si>
  <si>
    <t>Risque relatif par espacement des naissances - inférieur</t>
  </si>
  <si>
    <t>Rapport des cotes pour des conditions - inférieur</t>
  </si>
  <si>
    <t>Risques relatifs des causes du décès néonatales - inférieur</t>
  </si>
  <si>
    <t>Risque relatif par espacement des naissances - supérieur</t>
  </si>
  <si>
    <t>Rapport des cotes pour des conditions - supérieur</t>
  </si>
  <si>
    <t>Risques relatifs des causes du décès néonatales - supérieur</t>
  </si>
  <si>
    <t>Retard de croissance (HAZ-score &lt; -2)-i</t>
  </si>
  <si>
    <t>MM (score WHZ entre -3 et -2)-i</t>
  </si>
  <si>
    <t>MAS (score WHZ &lt; -3)-i</t>
  </si>
  <si>
    <t>Retard de croissance (HAZ-score &lt; -2)-s</t>
  </si>
  <si>
    <t>MM (score WHZ entre -3 et -2)-s</t>
  </si>
  <si>
    <t>MAS (score WHZ &lt; -3)-s</t>
  </si>
  <si>
    <t>Rapports des cotes pour les femmes avec l'anémie maternelle - inférieur</t>
  </si>
  <si>
    <t>Rapports des cotes pour les femmes avec l'anémie maternelle - supérieur</t>
  </si>
  <si>
    <t>Risque relatif des causes du décès par la distribution de la taille-pour-âge (retard de croissance)</t>
  </si>
  <si>
    <t>Cause du décès</t>
  </si>
  <si>
    <t>Niveau HAZ</t>
  </si>
  <si>
    <t>Léger</t>
  </si>
  <si>
    <t>Modéré</t>
  </si>
  <si>
    <t>Élevé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</si>
  <si>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</si>
  <si>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</si>
  <si>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</si>
  <si>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</si>
  <si>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</si>
  <si>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</si>
  <si>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</si>
  <si>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</si>
  <si>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Risque relatif des causes du décès par la distribution du poids-pour-taille (émaciation)</t>
  </si>
  <si>
    <t>Émaciation</t>
  </si>
  <si>
    <t>Compte tenu du retard de croissance antérieur (HAZ &lt; -2 dans la tranche d’âge précédente)</t>
  </si>
  <si>
    <t>Diarrhée (par épisode supplémentaire)</t>
  </si>
  <si>
    <t>Par programme</t>
  </si>
  <si>
    <t>Rapports des cotes supplémentaires</t>
  </si>
  <si>
    <t>Pour MAS par épisode supplémentaire de la diarrhée</t>
  </si>
  <si>
    <t>Pour l'anémie par épisode supplémentaire de la diarrhée aiguë</t>
  </si>
  <si>
    <t>Rapport des cotes pour l'allaitement maternel correct par programme</t>
  </si>
  <si>
    <t>Pour MM par épisode supplémentaire de la diarrhée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</si>
  <si>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</si>
  <si>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</si>
  <si>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</si>
  <si>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</si>
  <si>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</si>
  <si>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</si>
  <si>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</si>
  <si>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</si>
  <si>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</si>
  <si>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</si>
  <si>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</si>
  <si>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</si>
  <si>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</si>
  <si>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</si>
  <si>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</si>
  <si>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</si>
  <si>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</si>
  <si>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</si>
  <si>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</si>
  <si>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</si>
  <si>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</si>
  <si>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</si>
  <si>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</si>
  <si>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</si>
  <si>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</si>
  <si>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</si>
  <si>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</si>
  <si>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Petite quantité de supplémentation en nutriments à base de lipids - inférieur</t>
  </si>
  <si>
    <t>Petite quantité de supplémentation en nutriments à base de lipids - supérieur</t>
  </si>
  <si>
    <t>efficacité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</si>
  <si>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</si>
  <si>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</si>
  <si>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</si>
  <si>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</si>
  <si>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Risques relatifs de l'anémie en recevant l'intervention - supérieur</t>
  </si>
  <si>
    <t>Rapport des cotes pour l'anémie en étant couvert par l'intervention - inférieur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</si>
  <si>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</si>
  <si>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</si>
  <si>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</si>
  <si>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Rapport des cotes de la MAS en étant couvert par le programme - inférieur</t>
  </si>
  <si>
    <t>Rapport des cotes de la MM en étant couvert par le programme - inférieur</t>
  </si>
  <si>
    <t>Rapport des cotes de la MAS en étant couvert par le programme - supérieur</t>
  </si>
  <si>
    <t>Rapport des cotes de la MM en étant couvert par le programme - supérieur</t>
  </si>
  <si>
    <t>Borne inférieure</t>
  </si>
  <si>
    <t>Borne supérieure</t>
  </si>
  <si>
    <t>Condition ciblée</t>
  </si>
  <si>
    <t>Fraction touchée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</si>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</sst>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18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topLeftCell="A25" zoomScaleNormal="100" workbookViewId="0">
      <selection activeCell="C59" sqref="C59"/>
    </sheetView>
  </sheetViews>
  <sheetFormatPr defaultColWidth="14.453125" defaultRowHeight="15.75" customHeight="1" x14ac:dyDescent="0.25"/>
  <cols>
    <col min="1" max="1" width="27.6328125" style="8" customWidth="1"/>
    <col min="2" max="2" width="38.6328125" style="11" customWidth="1"/>
    <col min="3" max="3" width="14.453125" style="8" customWidth="1"/>
    <col min="4" max="16384" width="14.453125" style="8"/>
  </cols>
  <sheetData>
    <row r="1" spans="1:3" ht="15.9" customHeight="1" x14ac:dyDescent="0.3">
      <c r="A1" s="1" t="s">
        <v>13</v>
      </c>
      <c r="B1" s="29" t="s">
        <v>0</v>
      </c>
      <c r="C1" s="29" t="s">
        <v>66</v>
      </c>
    </row>
    <row r="2" spans="1:3" ht="15.9" customHeight="1" x14ac:dyDescent="0.3">
      <c r="A2" s="8" t="s">
        <v>14</v>
      </c>
      <c r="B2" s="29"/>
      <c r="C2" s="29"/>
    </row>
    <row r="3" spans="1:3" ht="15.9" customHeight="1" x14ac:dyDescent="0.3">
      <c r="A3" s="1"/>
      <c r="B3" s="5" t="s">
        <v>15</v>
      </c>
      <c r="C3" s="41">
        <v>2021</v>
      </c>
    </row>
    <row r="4" spans="1:3" ht="15.9" customHeight="1" x14ac:dyDescent="0.3">
      <c r="A4" s="1"/>
      <c r="B4" s="5" t="s">
        <v>16</v>
      </c>
      <c r="C4" s="42">
        <v>2030</v>
      </c>
    </row>
    <row r="5" spans="1:3" ht="15.9" customHeight="1" x14ac:dyDescent="0.3">
      <c r="A5" s="1"/>
      <c r="B5" s="29"/>
      <c r="C5" s="29"/>
    </row>
    <row r="6" spans="1:3" ht="15" customHeight="1" x14ac:dyDescent="0.25">
      <c r="A6" s="8" t="s">
        <v>17</v>
      </c>
    </row>
    <row r="7" spans="1:3" ht="15" customHeight="1" x14ac:dyDescent="0.25">
      <c r="B7" s="11" t="s">
        <v>18</v>
      </c>
      <c r="C7" s="43">
        <v>231460.4296875</v>
      </c>
    </row>
    <row r="8" spans="1:3" ht="15" customHeight="1" x14ac:dyDescent="0.25">
      <c r="B8" s="5" t="s">
        <v>19</v>
      </c>
      <c r="C8" s="44">
        <v>1.4999999999999999E-2</v>
      </c>
    </row>
    <row r="9" spans="1:3" ht="15" customHeight="1" x14ac:dyDescent="0.25">
      <c r="B9" s="5" t="s">
        <v>20</v>
      </c>
      <c r="C9" s="45">
        <v>0.97</v>
      </c>
    </row>
    <row r="10" spans="1:3" ht="15" customHeight="1" x14ac:dyDescent="0.25">
      <c r="B10" s="5" t="s">
        <v>21</v>
      </c>
      <c r="C10" s="45">
        <v>0.32603321079999997</v>
      </c>
    </row>
    <row r="11" spans="1:3" ht="15" customHeight="1" x14ac:dyDescent="0.25">
      <c r="B11" s="5" t="s">
        <v>22</v>
      </c>
      <c r="C11" s="45">
        <v>0.66900000000000004</v>
      </c>
    </row>
    <row r="12" spans="1:3" ht="15" customHeight="1" x14ac:dyDescent="0.25">
      <c r="B12" s="5" t="s">
        <v>23</v>
      </c>
      <c r="C12" s="45">
        <v>0.54299999999999993</v>
      </c>
    </row>
    <row r="13" spans="1:3" ht="15" customHeight="1" x14ac:dyDescent="0.25">
      <c r="B13" s="5" t="s">
        <v>24</v>
      </c>
      <c r="C13" s="45">
        <v>0.79500000000000004</v>
      </c>
    </row>
    <row r="14" spans="1:3" ht="15" customHeight="1" x14ac:dyDescent="0.25">
      <c r="B14" s="8"/>
    </row>
    <row r="15" spans="1:3" ht="15" customHeight="1" x14ac:dyDescent="0.3">
      <c r="A15" s="8" t="s">
        <v>25</v>
      </c>
      <c r="B15" s="14"/>
      <c r="C15" s="3"/>
    </row>
    <row r="16" spans="1:3" ht="15" customHeight="1" x14ac:dyDescent="0.25">
      <c r="B16" s="5" t="s">
        <v>26</v>
      </c>
      <c r="C16" s="45">
        <v>0.1</v>
      </c>
    </row>
    <row r="17" spans="1:3" ht="15" customHeight="1" x14ac:dyDescent="0.25">
      <c r="B17" s="5" t="s">
        <v>27</v>
      </c>
      <c r="C17" s="45">
        <v>0.7</v>
      </c>
    </row>
    <row r="18" spans="1:3" ht="15" customHeight="1" x14ac:dyDescent="0.25">
      <c r="B18" s="5" t="s">
        <v>28</v>
      </c>
      <c r="C18" s="45">
        <v>0.05</v>
      </c>
    </row>
    <row r="19" spans="1:3" ht="15" customHeight="1" x14ac:dyDescent="0.25">
      <c r="B19" s="5" t="s">
        <v>29</v>
      </c>
      <c r="C19" s="45">
        <v>0.05</v>
      </c>
    </row>
    <row r="20" spans="1:3" ht="15" customHeight="1" x14ac:dyDescent="0.25">
      <c r="B20" s="5" t="s">
        <v>30</v>
      </c>
      <c r="C20" s="46">
        <f>1-frac_rice-frac_wheat-frac_maize</f>
        <v>0.20000000000000007</v>
      </c>
    </row>
    <row r="21" spans="1:3" ht="15" customHeight="1" x14ac:dyDescent="0.25">
      <c r="B21" s="8"/>
    </row>
    <row r="22" spans="1:3" ht="15" customHeight="1" x14ac:dyDescent="0.25">
      <c r="A22" s="8" t="s">
        <v>31</v>
      </c>
    </row>
    <row r="23" spans="1:3" ht="15" customHeight="1" x14ac:dyDescent="0.25">
      <c r="B23" s="15" t="s">
        <v>32</v>
      </c>
      <c r="C23" s="45">
        <v>0.17019999999999999</v>
      </c>
    </row>
    <row r="24" spans="1:3" ht="15" customHeight="1" x14ac:dyDescent="0.25">
      <c r="B24" s="15" t="s">
        <v>33</v>
      </c>
      <c r="C24" s="45">
        <v>0.45119999999999999</v>
      </c>
    </row>
    <row r="25" spans="1:3" ht="15" customHeight="1" x14ac:dyDescent="0.25">
      <c r="B25" s="15" t="s">
        <v>34</v>
      </c>
      <c r="C25" s="45">
        <v>0.29249999999999998</v>
      </c>
    </row>
    <row r="26" spans="1:3" ht="15" customHeight="1" x14ac:dyDescent="0.25">
      <c r="B26" s="15" t="s">
        <v>35</v>
      </c>
      <c r="C26" s="45">
        <v>8.6099999999999996E-2</v>
      </c>
    </row>
    <row r="27" spans="1:3" ht="15" customHeight="1" x14ac:dyDescent="0.25">
      <c r="B27" s="15"/>
      <c r="C27" s="15"/>
    </row>
    <row r="28" spans="1:3" ht="15" customHeight="1" x14ac:dyDescent="0.25">
      <c r="A28" s="8" t="s">
        <v>36</v>
      </c>
      <c r="B28" s="15"/>
      <c r="C28" s="15"/>
    </row>
    <row r="29" spans="1:3" ht="14.25" customHeight="1" x14ac:dyDescent="0.25">
      <c r="B29" s="25" t="s">
        <v>37</v>
      </c>
      <c r="C29" s="45">
        <v>0.19675086525509</v>
      </c>
    </row>
    <row r="30" spans="1:3" ht="14.25" customHeight="1" x14ac:dyDescent="0.25">
      <c r="B30" s="25" t="s">
        <v>38</v>
      </c>
      <c r="C30" s="99">
        <v>5.4334968835213812E-2</v>
      </c>
    </row>
    <row r="31" spans="1:3" ht="14.25" customHeight="1" x14ac:dyDescent="0.25">
      <c r="B31" s="25" t="s">
        <v>39</v>
      </c>
      <c r="C31" s="99">
        <v>0.12809177283586601</v>
      </c>
    </row>
    <row r="32" spans="1:3" ht="14.25" customHeight="1" x14ac:dyDescent="0.25">
      <c r="B32" s="25" t="s">
        <v>40</v>
      </c>
      <c r="C32" s="99">
        <v>0.62082239307383003</v>
      </c>
    </row>
    <row r="33" spans="1:5" ht="13" customHeight="1" x14ac:dyDescent="0.25">
      <c r="B33" s="27" t="s">
        <v>41</v>
      </c>
      <c r="C33" s="48">
        <f>SUM(C29:C32)</f>
        <v>0.99999999999999989</v>
      </c>
    </row>
    <row r="34" spans="1:5" ht="15" customHeight="1" x14ac:dyDescent="0.25"/>
    <row r="35" spans="1:5" ht="15" customHeight="1" x14ac:dyDescent="0.3">
      <c r="A35" s="4" t="s">
        <v>42</v>
      </c>
    </row>
    <row r="36" spans="1:5" ht="15" customHeight="1" x14ac:dyDescent="0.25">
      <c r="A36" s="8" t="s">
        <v>43</v>
      </c>
      <c r="B36" s="5"/>
    </row>
    <row r="37" spans="1:5" ht="15" customHeight="1" x14ac:dyDescent="0.25">
      <c r="B37" s="11" t="s">
        <v>44</v>
      </c>
      <c r="C37" s="43">
        <v>29.005217026656702</v>
      </c>
    </row>
    <row r="38" spans="1:5" ht="15" customHeight="1" x14ac:dyDescent="0.25">
      <c r="B38" s="11" t="s">
        <v>45</v>
      </c>
      <c r="C38" s="43">
        <v>60.412524959319803</v>
      </c>
      <c r="D38" s="12"/>
      <c r="E38" s="13"/>
    </row>
    <row r="39" spans="1:5" ht="15" customHeight="1" x14ac:dyDescent="0.25">
      <c r="B39" s="11" t="s">
        <v>46</v>
      </c>
      <c r="C39" s="43">
        <v>81.846654138467002</v>
      </c>
      <c r="D39" s="12"/>
      <c r="E39" s="12"/>
    </row>
    <row r="40" spans="1:5" ht="15" customHeight="1" x14ac:dyDescent="0.25">
      <c r="B40" s="11" t="s">
        <v>47</v>
      </c>
      <c r="C40" s="100">
        <v>3.01</v>
      </c>
    </row>
    <row r="41" spans="1:5" ht="15" customHeight="1" x14ac:dyDescent="0.25">
      <c r="B41" s="11" t="s">
        <v>48</v>
      </c>
      <c r="C41" s="45">
        <v>0.12</v>
      </c>
    </row>
    <row r="42" spans="1:5" ht="15" customHeight="1" x14ac:dyDescent="0.25">
      <c r="B42" s="11" t="s">
        <v>49</v>
      </c>
      <c r="C42" s="43">
        <v>15.07910517</v>
      </c>
    </row>
    <row r="43" spans="1:5" ht="15.75" customHeight="1" x14ac:dyDescent="0.25">
      <c r="D43" s="12"/>
    </row>
    <row r="44" spans="1:5" ht="15.75" customHeight="1" x14ac:dyDescent="0.25">
      <c r="A44" s="8" t="s">
        <v>50</v>
      </c>
      <c r="D44" s="12"/>
    </row>
    <row r="45" spans="1:5" ht="15.75" customHeight="1" x14ac:dyDescent="0.25">
      <c r="B45" s="11" t="s">
        <v>51</v>
      </c>
      <c r="C45" s="45">
        <v>2.8584999999999999E-3</v>
      </c>
      <c r="D45" s="12"/>
    </row>
    <row r="46" spans="1:5" ht="15.75" customHeight="1" x14ac:dyDescent="0.25">
      <c r="B46" s="11" t="s">
        <v>52</v>
      </c>
      <c r="C46" s="45">
        <v>8.5482000000000002E-2</v>
      </c>
      <c r="D46" s="12"/>
    </row>
    <row r="47" spans="1:5" ht="15.75" customHeight="1" x14ac:dyDescent="0.25">
      <c r="B47" s="11" t="s">
        <v>53</v>
      </c>
      <c r="C47" s="45">
        <v>0.14246629999999999</v>
      </c>
      <c r="D47" s="12"/>
      <c r="E47" s="13"/>
    </row>
    <row r="48" spans="1:5" ht="15" customHeight="1" x14ac:dyDescent="0.25">
      <c r="B48" s="11" t="s">
        <v>54</v>
      </c>
      <c r="C48" s="46">
        <v>0.76919320000000002</v>
      </c>
      <c r="D48" s="12"/>
      <c r="E48" s="12"/>
    </row>
    <row r="49" spans="1:4" ht="15.75" customHeight="1" x14ac:dyDescent="0.25">
      <c r="D49" s="12"/>
    </row>
    <row r="50" spans="1:4" ht="15.75" customHeight="1" x14ac:dyDescent="0.25">
      <c r="A50" s="8" t="s">
        <v>55</v>
      </c>
      <c r="D50" s="12"/>
    </row>
    <row r="51" spans="1:4" ht="15.75" customHeight="1" x14ac:dyDescent="0.25">
      <c r="B51" s="11" t="s">
        <v>56</v>
      </c>
      <c r="C51" s="100">
        <v>3.3</v>
      </c>
      <c r="D51" s="12"/>
    </row>
    <row r="52" spans="1:4" ht="15" customHeight="1" x14ac:dyDescent="0.25">
      <c r="B52" s="11" t="s">
        <v>57</v>
      </c>
      <c r="C52" s="100">
        <v>3.3</v>
      </c>
    </row>
    <row r="53" spans="1:4" ht="15.75" customHeight="1" x14ac:dyDescent="0.25">
      <c r="B53" s="11" t="s">
        <v>58</v>
      </c>
      <c r="C53" s="100">
        <v>3.3</v>
      </c>
    </row>
    <row r="54" spans="1:4" ht="15.75" customHeight="1" x14ac:dyDescent="0.25">
      <c r="B54" s="11" t="s">
        <v>59</v>
      </c>
      <c r="C54" s="100">
        <v>3.3</v>
      </c>
    </row>
    <row r="55" spans="1:4" ht="15.75" customHeight="1" x14ac:dyDescent="0.25">
      <c r="B55" s="11" t="s">
        <v>60</v>
      </c>
      <c r="C55" s="100">
        <v>3.3</v>
      </c>
    </row>
    <row r="57" spans="1:4" ht="15.75" customHeight="1" x14ac:dyDescent="0.25">
      <c r="A57" s="8" t="s">
        <v>61</v>
      </c>
    </row>
    <row r="58" spans="1:4" ht="15.75" customHeight="1" x14ac:dyDescent="0.25">
      <c r="B58" s="5" t="s">
        <v>62</v>
      </c>
      <c r="C58" s="45">
        <v>2.181818181818182E-2</v>
      </c>
    </row>
    <row r="59" spans="1:4" ht="15.75" customHeight="1" x14ac:dyDescent="0.25">
      <c r="B59" s="11" t="s">
        <v>63</v>
      </c>
      <c r="C59" s="45">
        <v>0.42923099999999997</v>
      </c>
    </row>
    <row r="60" spans="1:4" ht="15.75" customHeight="1" x14ac:dyDescent="0.25">
      <c r="B60" s="11" t="s">
        <v>64</v>
      </c>
      <c r="C60" s="45">
        <v>4.5999999999999999E-2</v>
      </c>
    </row>
    <row r="61" spans="1:4" ht="15.75" customHeight="1" x14ac:dyDescent="0.25">
      <c r="B61" s="11" t="s">
        <v>65</v>
      </c>
      <c r="C61" s="45">
        <v>1.4E-2</v>
      </c>
    </row>
    <row r="62" spans="1:4" ht="15.75" customHeight="1" x14ac:dyDescent="0.25">
      <c r="B62" s="11" t="s">
        <v>67</v>
      </c>
      <c r="C62" s="44">
        <v>0.14599999999999999</v>
      </c>
    </row>
    <row r="63" spans="1:4" ht="15.75" customHeight="1" x14ac:dyDescent="0.3">
      <c r="A63" s="4"/>
    </row>
  </sheetData>
  <sheetProtection algorithmName="SHA-512" hashValue="2XMc7ArBVTDnhBRAAM+Y0HE9dMAVUrSKqKUU137rEuzz9/tvb5lrfXSmxFiFSSOCDCDfzujxat2M+xPJ971vTw==" saltValue="slE5W05TIZnhopIUDfqOn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D16" sqref="D16"/>
    </sheetView>
  </sheetViews>
  <sheetFormatPr defaultColWidth="14.453125" defaultRowHeight="15.75" customHeight="1" x14ac:dyDescent="0.25"/>
  <cols>
    <col min="1" max="1" width="8.453125" style="8" customWidth="1"/>
    <col min="2" max="9" width="16.90625" style="8" customWidth="1"/>
    <col min="10" max="10" width="14.453125" style="8" customWidth="1"/>
    <col min="11" max="16384" width="14.453125" style="8"/>
  </cols>
  <sheetData>
    <row r="1" spans="1:9" s="16" customFormat="1" ht="30" customHeight="1" x14ac:dyDescent="0.3">
      <c r="A1" s="26" t="s">
        <v>76</v>
      </c>
      <c r="B1" s="20" t="s">
        <v>68</v>
      </c>
      <c r="C1" s="18" t="s">
        <v>69</v>
      </c>
      <c r="D1" s="18" t="s">
        <v>70</v>
      </c>
      <c r="E1" s="18" t="s">
        <v>71</v>
      </c>
      <c r="F1" s="18" t="s">
        <v>72</v>
      </c>
      <c r="G1" s="18" t="s">
        <v>73</v>
      </c>
      <c r="H1" s="18" t="s">
        <v>74</v>
      </c>
      <c r="I1" s="18" t="s">
        <v>75</v>
      </c>
    </row>
    <row r="2" spans="1:9" ht="15.75" customHeight="1" x14ac:dyDescent="0.25">
      <c r="A2" s="5">
        <f>start_year</f>
        <v>2021</v>
      </c>
      <c r="B2" s="49">
        <v>46241.553599999992</v>
      </c>
      <c r="C2" s="49">
        <v>63000</v>
      </c>
      <c r="D2" s="49">
        <v>117000</v>
      </c>
      <c r="E2" s="49">
        <v>93000</v>
      </c>
      <c r="F2" s="49">
        <v>47000</v>
      </c>
      <c r="G2" s="17">
        <f t="shared" ref="G2:G11" si="0">C2+D2+E2+F2</f>
        <v>320000</v>
      </c>
      <c r="H2" s="17">
        <f t="shared" ref="H2:H11" si="1">(B2 + stillbirth*B2/(1000-stillbirth))/(1-abortion)</f>
        <v>53351.716138654752</v>
      </c>
      <c r="I2" s="17">
        <f t="shared" ref="I2:I11" si="2">G2-H2</f>
        <v>266648.28386134526</v>
      </c>
    </row>
    <row r="3" spans="1:9" ht="15.75" customHeight="1" x14ac:dyDescent="0.25">
      <c r="A3" s="5">
        <f t="shared" ref="A3:A40" si="3">IF($A$2+ROW(A3)-2&lt;=end_year,A2+1,"")</f>
        <v>2022</v>
      </c>
      <c r="B3" s="49">
        <v>47101.014799999997</v>
      </c>
      <c r="C3" s="50">
        <v>67000</v>
      </c>
      <c r="D3" s="50">
        <v>121000</v>
      </c>
      <c r="E3" s="50">
        <v>96000</v>
      </c>
      <c r="F3" s="50">
        <v>48000</v>
      </c>
      <c r="G3" s="17">
        <f t="shared" si="0"/>
        <v>332000</v>
      </c>
      <c r="H3" s="17">
        <f t="shared" si="1"/>
        <v>54343.329231312346</v>
      </c>
      <c r="I3" s="17">
        <f t="shared" si="2"/>
        <v>277656.67076868768</v>
      </c>
    </row>
    <row r="4" spans="1:9" ht="15.75" customHeight="1" x14ac:dyDescent="0.25">
      <c r="A4" s="5">
        <f t="shared" si="3"/>
        <v>2023</v>
      </c>
      <c r="B4" s="49">
        <v>47923.289599999996</v>
      </c>
      <c r="C4" s="50">
        <v>70000</v>
      </c>
      <c r="D4" s="50">
        <v>125000</v>
      </c>
      <c r="E4" s="50">
        <v>99000</v>
      </c>
      <c r="F4" s="50">
        <v>49000</v>
      </c>
      <c r="G4" s="17">
        <f t="shared" si="0"/>
        <v>343000</v>
      </c>
      <c r="H4" s="17">
        <f t="shared" si="1"/>
        <v>55292.038093844356</v>
      </c>
      <c r="I4" s="17">
        <f t="shared" si="2"/>
        <v>287707.96190615563</v>
      </c>
    </row>
    <row r="5" spans="1:9" ht="15.75" customHeight="1" x14ac:dyDescent="0.25">
      <c r="A5" s="5">
        <f t="shared" si="3"/>
        <v>2024</v>
      </c>
      <c r="B5" s="49">
        <v>48708.377999999997</v>
      </c>
      <c r="C5" s="50">
        <v>73000</v>
      </c>
      <c r="D5" s="50">
        <v>131000</v>
      </c>
      <c r="E5" s="50">
        <v>103000</v>
      </c>
      <c r="F5" s="50">
        <v>50000</v>
      </c>
      <c r="G5" s="17">
        <f t="shared" si="0"/>
        <v>357000</v>
      </c>
      <c r="H5" s="17">
        <f t="shared" si="1"/>
        <v>56197.842726250798</v>
      </c>
      <c r="I5" s="17">
        <f t="shared" si="2"/>
        <v>300802.15727374918</v>
      </c>
    </row>
    <row r="6" spans="1:9" ht="15.75" customHeight="1" x14ac:dyDescent="0.25">
      <c r="A6" s="5">
        <f t="shared" si="3"/>
        <v>2025</v>
      </c>
      <c r="B6" s="49">
        <v>49486.51</v>
      </c>
      <c r="C6" s="50">
        <v>76000</v>
      </c>
      <c r="D6" s="50">
        <v>136000</v>
      </c>
      <c r="E6" s="50">
        <v>107000</v>
      </c>
      <c r="F6" s="50">
        <v>53000</v>
      </c>
      <c r="G6" s="17">
        <f t="shared" si="0"/>
        <v>372000</v>
      </c>
      <c r="H6" s="17">
        <f t="shared" si="1"/>
        <v>57095.62133337796</v>
      </c>
      <c r="I6" s="17">
        <f t="shared" si="2"/>
        <v>314904.37866662204</v>
      </c>
    </row>
    <row r="7" spans="1:9" ht="15.75" customHeight="1" x14ac:dyDescent="0.25">
      <c r="A7" s="5">
        <f t="shared" si="3"/>
        <v>2026</v>
      </c>
      <c r="B7" s="49">
        <v>50181.001200000013</v>
      </c>
      <c r="C7" s="50">
        <v>78000</v>
      </c>
      <c r="D7" s="50">
        <v>139000</v>
      </c>
      <c r="E7" s="50">
        <v>110000</v>
      </c>
      <c r="F7" s="50">
        <v>56000</v>
      </c>
      <c r="G7" s="17">
        <f t="shared" si="0"/>
        <v>383000</v>
      </c>
      <c r="H7" s="17">
        <f t="shared" si="1"/>
        <v>57896.898420296471</v>
      </c>
      <c r="I7" s="17">
        <f t="shared" si="2"/>
        <v>325103.10157970351</v>
      </c>
    </row>
    <row r="8" spans="1:9" ht="15.75" customHeight="1" x14ac:dyDescent="0.25">
      <c r="A8" s="5">
        <f t="shared" si="3"/>
        <v>2027</v>
      </c>
      <c r="B8" s="49">
        <v>50866.843999999997</v>
      </c>
      <c r="C8" s="50">
        <v>81000</v>
      </c>
      <c r="D8" s="50">
        <v>143000</v>
      </c>
      <c r="E8" s="50">
        <v>113000</v>
      </c>
      <c r="F8" s="50">
        <v>59000</v>
      </c>
      <c r="G8" s="17">
        <f t="shared" si="0"/>
        <v>396000</v>
      </c>
      <c r="H8" s="17">
        <f t="shared" si="1"/>
        <v>58688.197317774247</v>
      </c>
      <c r="I8" s="17">
        <f t="shared" si="2"/>
        <v>337311.80268222577</v>
      </c>
    </row>
    <row r="9" spans="1:9" ht="15.75" customHeight="1" x14ac:dyDescent="0.25">
      <c r="A9" s="5">
        <f t="shared" si="3"/>
        <v>2028</v>
      </c>
      <c r="B9" s="49">
        <v>51513.808400000009</v>
      </c>
      <c r="C9" s="50">
        <v>83000</v>
      </c>
      <c r="D9" s="50">
        <v>148000</v>
      </c>
      <c r="E9" s="50">
        <v>116000</v>
      </c>
      <c r="F9" s="50">
        <v>63000</v>
      </c>
      <c r="G9" s="17">
        <f t="shared" si="0"/>
        <v>410000</v>
      </c>
      <c r="H9" s="17">
        <f t="shared" si="1"/>
        <v>59434.639820965043</v>
      </c>
      <c r="I9" s="17">
        <f t="shared" si="2"/>
        <v>350565.36017903493</v>
      </c>
    </row>
    <row r="10" spans="1:9" ht="15.75" customHeight="1" x14ac:dyDescent="0.25">
      <c r="A10" s="5">
        <f t="shared" si="3"/>
        <v>2029</v>
      </c>
      <c r="B10" s="49">
        <v>52121.894399999997</v>
      </c>
      <c r="C10" s="50">
        <v>86000</v>
      </c>
      <c r="D10" s="50">
        <v>153000</v>
      </c>
      <c r="E10" s="50">
        <v>120000</v>
      </c>
      <c r="F10" s="50">
        <v>67000</v>
      </c>
      <c r="G10" s="17">
        <f t="shared" si="0"/>
        <v>426000</v>
      </c>
      <c r="H10" s="17">
        <f t="shared" si="1"/>
        <v>60136.22592986883</v>
      </c>
      <c r="I10" s="17">
        <f t="shared" si="2"/>
        <v>365863.77407013118</v>
      </c>
    </row>
    <row r="11" spans="1:9" ht="15.75" customHeight="1" x14ac:dyDescent="0.25">
      <c r="A11" s="5">
        <f t="shared" si="3"/>
        <v>2030</v>
      </c>
      <c r="B11" s="49">
        <v>52691.101999999999</v>
      </c>
      <c r="C11" s="50">
        <v>88000</v>
      </c>
      <c r="D11" s="50">
        <v>157000</v>
      </c>
      <c r="E11" s="50">
        <v>124000</v>
      </c>
      <c r="F11" s="50">
        <v>70000</v>
      </c>
      <c r="G11" s="17">
        <f t="shared" si="0"/>
        <v>439000</v>
      </c>
      <c r="H11" s="17">
        <f t="shared" si="1"/>
        <v>60792.955644485613</v>
      </c>
      <c r="I11" s="17">
        <f t="shared" si="2"/>
        <v>378207.0443555144</v>
      </c>
    </row>
    <row r="12" spans="1:9" ht="15.75" customHeight="1" x14ac:dyDescent="0.25">
      <c r="A12" s="5" t="str">
        <f t="shared" si="3"/>
        <v/>
      </c>
      <c r="B12" s="49"/>
      <c r="C12" s="50"/>
      <c r="D12" s="50"/>
      <c r="E12" s="50"/>
      <c r="F12" s="50"/>
      <c r="G12" s="17"/>
      <c r="H12" s="17"/>
      <c r="I12" s="17"/>
    </row>
    <row r="13" spans="1:9" ht="15.75" customHeight="1" x14ac:dyDescent="0.25">
      <c r="A13" s="5" t="str">
        <f t="shared" si="3"/>
        <v/>
      </c>
      <c r="B13" s="49"/>
      <c r="C13" s="50"/>
      <c r="D13" s="50"/>
      <c r="E13" s="50"/>
      <c r="F13" s="50"/>
      <c r="G13" s="17"/>
      <c r="H13" s="17"/>
      <c r="I13" s="17"/>
    </row>
    <row r="14" spans="1:9" ht="15.75" customHeight="1" x14ac:dyDescent="0.25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5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5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5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5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5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5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5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5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5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5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5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5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5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5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5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5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5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5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5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5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5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5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5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5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5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5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sx3bZh2n1oNmH4+HNGAWnU8/zUI4wQcbKN+1I+1ek03Fq+79XBYNfr+bfzL97ROuvkdjNaXZc9CF80t4wd/ZAw==" saltValue="fnZe5gSiSmmBgObFCxUTsA==" spinCount="100000" sheet="1" objects="1" scenarios="1" selectLockedCells="1"/>
  <conditionalFormatting sqref="B2:I16 B17:C17 E17:I17 B18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2" zoomScale="115" zoomScaleNormal="115" workbookViewId="0">
      <selection activeCell="C11" sqref="C11"/>
    </sheetView>
  </sheetViews>
  <sheetFormatPr defaultColWidth="14.453125" defaultRowHeight="15.75" customHeight="1" x14ac:dyDescent="0.25"/>
  <cols>
    <col min="1" max="1" width="16.08984375" customWidth="1"/>
    <col min="2" max="2" width="31.36328125" customWidth="1"/>
    <col min="3" max="8" width="13" customWidth="1"/>
  </cols>
  <sheetData>
    <row r="1" spans="1:8" ht="27.75" customHeight="1" x14ac:dyDescent="0.3">
      <c r="A1" s="4" t="str">
        <f>"Pourcentage des morts de l'année de référence ("&amp;start_year&amp;") imputable à chaque cause"</f>
        <v>Pourcentage des morts de l'année de référence (2021) imputable à chaque cause</v>
      </c>
      <c r="B1" s="29"/>
      <c r="C1" s="29"/>
      <c r="D1" s="29"/>
      <c r="E1" s="29"/>
      <c r="F1" s="29"/>
    </row>
    <row r="2" spans="1:8" ht="27.75" customHeight="1" x14ac:dyDescent="0.3">
      <c r="A2" t="s">
        <v>77</v>
      </c>
      <c r="B2" s="29" t="s">
        <v>1</v>
      </c>
      <c r="C2" s="29" t="s">
        <v>109</v>
      </c>
      <c r="D2" s="29"/>
      <c r="E2" s="29"/>
      <c r="F2" s="29"/>
      <c r="G2" s="29"/>
    </row>
    <row r="3" spans="1:8" ht="15.75" customHeight="1" x14ac:dyDescent="0.25">
      <c r="B3" s="19" t="s">
        <v>78</v>
      </c>
      <c r="C3" s="55">
        <v>1.0024559256756931E-2</v>
      </c>
    </row>
    <row r="4" spans="1:8" ht="15.75" customHeight="1" x14ac:dyDescent="0.25">
      <c r="B4" s="19" t="s">
        <v>79</v>
      </c>
      <c r="C4" s="101">
        <v>9.6679763631924334E-2</v>
      </c>
    </row>
    <row r="5" spans="1:8" ht="15.75" customHeight="1" x14ac:dyDescent="0.25">
      <c r="B5" s="19" t="s">
        <v>80</v>
      </c>
      <c r="C5" s="101">
        <v>7.2481780052522038E-2</v>
      </c>
    </row>
    <row r="6" spans="1:8" ht="15.75" customHeight="1" x14ac:dyDescent="0.25">
      <c r="B6" s="19" t="s">
        <v>81</v>
      </c>
      <c r="C6" s="101">
        <v>0.3070462971818726</v>
      </c>
    </row>
    <row r="7" spans="1:8" ht="15.75" customHeight="1" x14ac:dyDescent="0.25">
      <c r="B7" s="19" t="s">
        <v>82</v>
      </c>
      <c r="C7" s="101">
        <v>0.31418211522061812</v>
      </c>
    </row>
    <row r="8" spans="1:8" ht="15.75" customHeight="1" x14ac:dyDescent="0.25">
      <c r="B8" s="19" t="s">
        <v>83</v>
      </c>
      <c r="C8" s="101">
        <v>1.5948282635923398E-2</v>
      </c>
    </row>
    <row r="9" spans="1:8" ht="15.75" customHeight="1" x14ac:dyDescent="0.25">
      <c r="B9" s="19" t="s">
        <v>84</v>
      </c>
      <c r="C9" s="101">
        <v>7.9035157105624143E-2</v>
      </c>
    </row>
    <row r="10" spans="1:8" ht="15.75" customHeight="1" x14ac:dyDescent="0.25">
      <c r="B10" s="19" t="s">
        <v>85</v>
      </c>
      <c r="C10" s="101">
        <v>0.1046020449147585</v>
      </c>
    </row>
    <row r="11" spans="1:8" ht="15.75" customHeight="1" x14ac:dyDescent="0.25">
      <c r="B11" s="27" t="s">
        <v>41</v>
      </c>
      <c r="C11" s="48">
        <f>SUM(C3:C10)</f>
        <v>1</v>
      </c>
      <c r="G11" s="19"/>
      <c r="H11" s="19"/>
    </row>
    <row r="12" spans="1:8" ht="15.75" customHeight="1" x14ac:dyDescent="0.25">
      <c r="B12" s="27"/>
      <c r="C12" s="19"/>
      <c r="D12" s="19"/>
      <c r="E12" s="19"/>
      <c r="F12" s="19"/>
      <c r="G12" s="19"/>
      <c r="H12" s="19"/>
    </row>
    <row r="13" spans="1:8" ht="15.75" customHeight="1" x14ac:dyDescent="0.3">
      <c r="A13" s="8" t="s">
        <v>86</v>
      </c>
      <c r="B13" s="29" t="s">
        <v>1</v>
      </c>
      <c r="C13" s="102" t="s">
        <v>96</v>
      </c>
      <c r="D13" s="102" t="s">
        <v>97</v>
      </c>
      <c r="E13" s="102" t="s">
        <v>98</v>
      </c>
      <c r="F13" s="102" t="s">
        <v>99</v>
      </c>
      <c r="G13" s="19"/>
    </row>
    <row r="14" spans="1:8" ht="15.75" customHeight="1" x14ac:dyDescent="0.25">
      <c r="B14" s="19" t="s">
        <v>87</v>
      </c>
      <c r="C14" s="55">
        <v>9.1111232777895484E-2</v>
      </c>
      <c r="D14" s="55">
        <v>9.1111232777895484E-2</v>
      </c>
      <c r="E14" s="55">
        <v>9.1111232777895484E-2</v>
      </c>
      <c r="F14" s="55">
        <v>9.1111232777895484E-2</v>
      </c>
    </row>
    <row r="15" spans="1:8" ht="15.75" customHeight="1" x14ac:dyDescent="0.25">
      <c r="B15" s="19" t="s">
        <v>88</v>
      </c>
      <c r="C15" s="101">
        <v>0.17194216291273609</v>
      </c>
      <c r="D15" s="101">
        <v>0.17194216291273609</v>
      </c>
      <c r="E15" s="101">
        <v>0.17194216291273609</v>
      </c>
      <c r="F15" s="101">
        <v>0.17194216291273609</v>
      </c>
    </row>
    <row r="16" spans="1:8" ht="15.75" customHeight="1" x14ac:dyDescent="0.25">
      <c r="B16" s="19" t="s">
        <v>89</v>
      </c>
      <c r="C16" s="101">
        <v>1.4374290667594139E-2</v>
      </c>
      <c r="D16" s="101">
        <v>1.4374290667594139E-2</v>
      </c>
      <c r="E16" s="101">
        <v>1.4374290667594139E-2</v>
      </c>
      <c r="F16" s="101">
        <v>1.4374290667594139E-2</v>
      </c>
    </row>
    <row r="17" spans="1:8" ht="15.75" customHeight="1" x14ac:dyDescent="0.25">
      <c r="B17" s="19" t="s">
        <v>90</v>
      </c>
      <c r="C17" s="101">
        <v>2.9555080536016218E-2</v>
      </c>
      <c r="D17" s="101">
        <v>2.9555080536016218E-2</v>
      </c>
      <c r="E17" s="101">
        <v>2.9555080536016218E-2</v>
      </c>
      <c r="F17" s="101">
        <v>2.9555080536016218E-2</v>
      </c>
    </row>
    <row r="18" spans="1:8" ht="15.75" customHeight="1" x14ac:dyDescent="0.25">
      <c r="B18" s="19" t="s">
        <v>91</v>
      </c>
      <c r="C18" s="101">
        <v>0.222992071987067</v>
      </c>
      <c r="D18" s="101">
        <v>0.222992071987067</v>
      </c>
      <c r="E18" s="101">
        <v>0.222992071987067</v>
      </c>
      <c r="F18" s="101">
        <v>0.222992071987067</v>
      </c>
    </row>
    <row r="19" spans="1:8" ht="15.75" customHeight="1" x14ac:dyDescent="0.25">
      <c r="B19" s="19" t="s">
        <v>92</v>
      </c>
      <c r="C19" s="101">
        <v>1.7035585034982689E-2</v>
      </c>
      <c r="D19" s="101">
        <v>1.7035585034982689E-2</v>
      </c>
      <c r="E19" s="101">
        <v>1.7035585034982689E-2</v>
      </c>
      <c r="F19" s="101">
        <v>1.7035585034982689E-2</v>
      </c>
    </row>
    <row r="20" spans="1:8" ht="15.75" customHeight="1" x14ac:dyDescent="0.25">
      <c r="B20" s="19" t="s">
        <v>93</v>
      </c>
      <c r="C20" s="101">
        <v>0.20432411553854371</v>
      </c>
      <c r="D20" s="101">
        <v>0.20432411553854371</v>
      </c>
      <c r="E20" s="101">
        <v>0.20432411553854371</v>
      </c>
      <c r="F20" s="101">
        <v>0.20432411553854371</v>
      </c>
    </row>
    <row r="21" spans="1:8" ht="15.75" customHeight="1" x14ac:dyDescent="0.25">
      <c r="B21" s="19" t="s">
        <v>94</v>
      </c>
      <c r="C21" s="101">
        <v>4.9826246991009251E-2</v>
      </c>
      <c r="D21" s="101">
        <v>4.9826246991009251E-2</v>
      </c>
      <c r="E21" s="101">
        <v>4.9826246991009251E-2</v>
      </c>
      <c r="F21" s="101">
        <v>4.9826246991009251E-2</v>
      </c>
    </row>
    <row r="22" spans="1:8" ht="15.75" customHeight="1" x14ac:dyDescent="0.25">
      <c r="B22" s="19" t="s">
        <v>95</v>
      </c>
      <c r="C22" s="101">
        <v>0.19883921355415549</v>
      </c>
      <c r="D22" s="101">
        <v>0.19883921355415549</v>
      </c>
      <c r="E22" s="101">
        <v>0.19883921355415549</v>
      </c>
      <c r="F22" s="101">
        <v>0.19883921355415549</v>
      </c>
    </row>
    <row r="23" spans="1:8" ht="15.75" customHeight="1" x14ac:dyDescent="0.25">
      <c r="B23" s="27" t="s">
        <v>41</v>
      </c>
      <c r="C23" s="48">
        <f>SUM(C14:C22)</f>
        <v>1.0000000000000002</v>
      </c>
      <c r="D23" s="48">
        <f>SUM(D14:D22)</f>
        <v>1.0000000000000002</v>
      </c>
      <c r="E23" s="48">
        <f>SUM(E14:E22)</f>
        <v>1.0000000000000002</v>
      </c>
      <c r="F23" s="48">
        <f>SUM(F14:F22)</f>
        <v>1.0000000000000002</v>
      </c>
      <c r="G23" s="19"/>
      <c r="H23" s="19"/>
    </row>
    <row r="24" spans="1:8" ht="15.75" customHeight="1" x14ac:dyDescent="0.25">
      <c r="B24" s="27"/>
      <c r="C24" s="19"/>
      <c r="D24" s="19"/>
      <c r="E24" s="19"/>
      <c r="F24" s="19"/>
      <c r="G24" s="19"/>
      <c r="H24" s="19"/>
    </row>
    <row r="25" spans="1:8" ht="15.75" customHeight="1" x14ac:dyDescent="0.3">
      <c r="A25" t="s">
        <v>100</v>
      </c>
      <c r="B25" s="29" t="s">
        <v>1</v>
      </c>
      <c r="C25" s="29" t="s">
        <v>100</v>
      </c>
      <c r="D25" s="19"/>
      <c r="E25" s="19"/>
      <c r="F25" s="19"/>
      <c r="G25" s="19"/>
      <c r="H25" s="19"/>
    </row>
    <row r="26" spans="1:8" ht="15.75" customHeight="1" x14ac:dyDescent="0.25">
      <c r="B26" s="19" t="s">
        <v>101</v>
      </c>
      <c r="C26" s="55">
        <v>8.6943652999999996E-2</v>
      </c>
    </row>
    <row r="27" spans="1:8" ht="15.75" customHeight="1" x14ac:dyDescent="0.25">
      <c r="B27" s="19" t="s">
        <v>102</v>
      </c>
      <c r="C27" s="101">
        <v>8.5220880000000006E-3</v>
      </c>
    </row>
    <row r="28" spans="1:8" ht="15.75" customHeight="1" x14ac:dyDescent="0.25">
      <c r="B28" s="19" t="s">
        <v>103</v>
      </c>
      <c r="C28" s="101">
        <v>0.152896541</v>
      </c>
    </row>
    <row r="29" spans="1:8" ht="15.75" customHeight="1" x14ac:dyDescent="0.25">
      <c r="B29" s="19" t="s">
        <v>104</v>
      </c>
      <c r="C29" s="101">
        <v>0.16599547100000001</v>
      </c>
    </row>
    <row r="30" spans="1:8" ht="15.75" customHeight="1" x14ac:dyDescent="0.25">
      <c r="B30" s="19" t="s">
        <v>2</v>
      </c>
      <c r="C30" s="101">
        <v>0.10566703099999999</v>
      </c>
    </row>
    <row r="31" spans="1:8" ht="15.75" customHeight="1" x14ac:dyDescent="0.25">
      <c r="B31" s="19" t="s">
        <v>105</v>
      </c>
      <c r="C31" s="101">
        <v>0.108493031</v>
      </c>
    </row>
    <row r="32" spans="1:8" ht="15.75" customHeight="1" x14ac:dyDescent="0.25">
      <c r="B32" s="19" t="s">
        <v>106</v>
      </c>
      <c r="C32" s="101">
        <v>1.8539073999999999E-2</v>
      </c>
    </row>
    <row r="33" spans="2:3" ht="15.75" customHeight="1" x14ac:dyDescent="0.25">
      <c r="B33" s="19" t="s">
        <v>107</v>
      </c>
      <c r="C33" s="101">
        <v>8.3873541999999995E-2</v>
      </c>
    </row>
    <row r="34" spans="2:3" ht="15.75" customHeight="1" x14ac:dyDescent="0.25">
      <c r="B34" s="19" t="s">
        <v>108</v>
      </c>
      <c r="C34" s="101">
        <v>0.26906956999999998</v>
      </c>
    </row>
    <row r="35" spans="2:3" ht="15.75" customHeight="1" x14ac:dyDescent="0.25">
      <c r="B35" s="27" t="s">
        <v>41</v>
      </c>
      <c r="C35" s="48">
        <f>SUM(C26:C34)</f>
        <v>1.0000000009999999</v>
      </c>
    </row>
  </sheetData>
  <sheetProtection algorithmName="SHA-512" hashValue="J8CW6A0kRgDGruZant+mJnGzlvLksozchMpYcAJPrEC6bFMec9X65BU01Choq3+TmSr49ft8jKFsR4UqyV8K6Q==" saltValue="PqfLH2RVOH+9QI6Fz3OPOw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F11" sqref="F11"/>
    </sheetView>
  </sheetViews>
  <sheetFormatPr defaultColWidth="14.453125" defaultRowHeight="15.75" customHeight="1" x14ac:dyDescent="0.25"/>
  <cols>
    <col min="1" max="1" width="31.453125" customWidth="1"/>
    <col min="2" max="2" width="24" customWidth="1"/>
  </cols>
  <sheetData>
    <row r="1" spans="1:15" ht="36" customHeight="1" x14ac:dyDescent="0.3">
      <c r="A1" s="22" t="str">
        <f>"Pourcentage de la population dans chaque catégorie pendant l'année de référence ("&amp;start_year&amp;")"</f>
        <v>Pourcentage de la population dans chaque catégorie pendant l'année de référence (2021)</v>
      </c>
      <c r="B1" s="1" t="s">
        <v>110</v>
      </c>
      <c r="C1" s="11" t="s">
        <v>109</v>
      </c>
      <c r="D1" s="11" t="s">
        <v>96</v>
      </c>
      <c r="E1" s="11" t="s">
        <v>97</v>
      </c>
      <c r="F1" s="11" t="s">
        <v>98</v>
      </c>
      <c r="G1" s="11" t="s">
        <v>99</v>
      </c>
    </row>
    <row r="2" spans="1:15" ht="15.75" customHeight="1" x14ac:dyDescent="0.25">
      <c r="A2" s="3" t="s">
        <v>111</v>
      </c>
      <c r="B2" s="5" t="s">
        <v>112</v>
      </c>
      <c r="C2" s="52">
        <f>IFERROR(1-_xlfn.NORM.DIST(_xlfn.NORM.INV(SUM(C4:C5), 0, 1) + 1, 0, 1, TRUE), "")</f>
        <v>0.51176168394192467</v>
      </c>
      <c r="D2" s="52">
        <f>IFERROR(1-_xlfn.NORM.DIST(_xlfn.NORM.INV(SUM(D4:D5), 0, 1) + 1, 0, 1, TRUE), "")</f>
        <v>0.51176168394192467</v>
      </c>
      <c r="E2" s="52">
        <f>IFERROR(1-_xlfn.NORM.DIST(_xlfn.NORM.INV(SUM(E4:E5), 0, 1) + 1, 0, 1, TRUE), "")</f>
        <v>0.45681791986706566</v>
      </c>
      <c r="F2" s="52">
        <f>IFERROR(1-_xlfn.NORM.DIST(_xlfn.NORM.INV(SUM(F4:F5), 0, 1) + 1, 0, 1, TRUE), "")</f>
        <v>0.26981463829626573</v>
      </c>
      <c r="G2" s="52">
        <f>IFERROR(1-_xlfn.NORM.DIST(_xlfn.NORM.INV(SUM(G4:G5), 0, 1) + 1, 0, 1, TRUE), "")</f>
        <v>0.24211129681004595</v>
      </c>
    </row>
    <row r="3" spans="1:15" ht="15.75" customHeight="1" x14ac:dyDescent="0.25">
      <c r="B3" s="5" t="s">
        <v>113</v>
      </c>
      <c r="C3" s="52">
        <f>IFERROR(_xlfn.NORM.DIST(_xlfn.NORM.INV(SUM(C4:C5), 0, 1) + 1, 0, 1, TRUE) - SUM(C4:C5), "")</f>
        <v>0.33661274221110715</v>
      </c>
      <c r="D3" s="52">
        <f>IFERROR(_xlfn.NORM.DIST(_xlfn.NORM.INV(SUM(D4:D5), 0, 1) + 1, 0, 1, TRUE) - SUM(D4:D5), "")</f>
        <v>0.33661274221110715</v>
      </c>
      <c r="E3" s="52">
        <f>IFERROR(_xlfn.NORM.DIST(_xlfn.NORM.INV(SUM(E4:E5), 0, 1) + 1, 0, 1, TRUE) - SUM(E4:E5), "")</f>
        <v>0.35686400945506846</v>
      </c>
      <c r="F3" s="52">
        <f>IFERROR(_xlfn.NORM.DIST(_xlfn.NORM.INV(SUM(F4:F5), 0, 1) + 1, 0, 1, TRUE) - SUM(F4:F5), "")</f>
        <v>0.38066892199807328</v>
      </c>
      <c r="G3" s="52">
        <f>IFERROR(_xlfn.NORM.DIST(_xlfn.NORM.INV(SUM(G4:G5), 0, 1) + 1, 0, 1, TRUE) - SUM(G4:G5), "")</f>
        <v>0.37598041626208606</v>
      </c>
    </row>
    <row r="4" spans="1:15" ht="15.75" customHeight="1" x14ac:dyDescent="0.25">
      <c r="B4" s="5" t="s">
        <v>114</v>
      </c>
      <c r="C4" s="45">
        <v>8.58190532050008E-2</v>
      </c>
      <c r="D4" s="53">
        <v>8.58190532050008E-2</v>
      </c>
      <c r="E4" s="53">
        <v>0.10849992686993</v>
      </c>
      <c r="F4" s="53">
        <v>0.196529120835613</v>
      </c>
      <c r="G4" s="53">
        <v>0.203917682529314</v>
      </c>
    </row>
    <row r="5" spans="1:15" ht="15.75" customHeight="1" x14ac:dyDescent="0.25">
      <c r="B5" s="5" t="s">
        <v>115</v>
      </c>
      <c r="C5" s="45">
        <v>6.5806520641967403E-2</v>
      </c>
      <c r="D5" s="53">
        <v>6.5806520641967403E-2</v>
      </c>
      <c r="E5" s="53">
        <v>7.7818143807935905E-2</v>
      </c>
      <c r="F5" s="53">
        <v>0.15298731887004799</v>
      </c>
      <c r="G5" s="53">
        <v>0.17799060439855399</v>
      </c>
    </row>
    <row r="6" spans="1:15" ht="15.75" customHeight="1" x14ac:dyDescent="0.25">
      <c r="B6" s="9"/>
      <c r="C6" s="24"/>
      <c r="D6" s="24"/>
      <c r="E6" s="24"/>
      <c r="F6" s="24"/>
      <c r="G6" s="24"/>
    </row>
    <row r="7" spans="1:15" ht="15.75" customHeight="1" x14ac:dyDescent="0.25">
      <c r="B7" s="9"/>
      <c r="C7" s="24"/>
      <c r="D7" s="24"/>
      <c r="E7" s="24"/>
      <c r="F7" s="24"/>
      <c r="G7" s="24"/>
    </row>
    <row r="8" spans="1:15" ht="15.75" customHeight="1" x14ac:dyDescent="0.25">
      <c r="A8" s="3" t="s">
        <v>116</v>
      </c>
      <c r="B8" s="5" t="s">
        <v>117</v>
      </c>
      <c r="C8" s="52">
        <f>IFERROR(1-_xlfn.NORM.DIST(_xlfn.NORM.INV(SUM(C10:C11), 0, 1) + 1, 0, 1, TRUE), "")</f>
        <v>0.5611037003185233</v>
      </c>
      <c r="D8" s="52">
        <f>IFERROR(1-_xlfn.NORM.DIST(_xlfn.NORM.INV(SUM(D10:D11), 0, 1) + 1, 0, 1, TRUE), "")</f>
        <v>0.5611037003185233</v>
      </c>
      <c r="E8" s="52">
        <f>IFERROR(1-_xlfn.NORM.DIST(_xlfn.NORM.INV(SUM(E10:E11), 0, 1) + 1, 0, 1, TRUE), "")</f>
        <v>0.49532382510254602</v>
      </c>
      <c r="F8" s="52">
        <f>IFERROR(1-_xlfn.NORM.DIST(_xlfn.NORM.INV(SUM(F10:F11), 0, 1) + 1, 0, 1, TRUE), "")</f>
        <v>0.55443480549473745</v>
      </c>
      <c r="G8" s="52">
        <f>IFERROR(1-_xlfn.NORM.DIST(_xlfn.NORM.INV(SUM(G10:G11), 0, 1) + 1, 0, 1, TRUE), "")</f>
        <v>0.68762994887632833</v>
      </c>
    </row>
    <row r="9" spans="1:15" ht="15.75" customHeight="1" x14ac:dyDescent="0.25">
      <c r="B9" s="5" t="s">
        <v>118</v>
      </c>
      <c r="C9" s="52">
        <f>IFERROR(_xlfn.NORM.DIST(_xlfn.NORM.INV(SUM(C10:C11), 0, 1) + 1, 0, 1, TRUE) - SUM(C10:C11), "")</f>
        <v>0.31459866861867092</v>
      </c>
      <c r="D9" s="52">
        <f>IFERROR(_xlfn.NORM.DIST(_xlfn.NORM.INV(SUM(D10:D11), 0, 1) + 1, 0, 1, TRUE) - SUM(D10:D11), "")</f>
        <v>0.31459866861867092</v>
      </c>
      <c r="E9" s="52">
        <f>IFERROR(_xlfn.NORM.DIST(_xlfn.NORM.INV(SUM(E10:E11), 0, 1) + 1, 0, 1, TRUE) - SUM(E10:E11), "")</f>
        <v>0.34316798977380808</v>
      </c>
      <c r="F9" s="52">
        <f>IFERROR(_xlfn.NORM.DIST(_xlfn.NORM.INV(SUM(F10:F11), 0, 1) + 1, 0, 1, TRUE) - SUM(F10:F11), "")</f>
        <v>0.31776971356947803</v>
      </c>
      <c r="G9" s="52">
        <f>IFERROR(_xlfn.NORM.DIST(_xlfn.NORM.INV(SUM(G10:G11), 0, 1) + 1, 0, 1, TRUE) - SUM(G10:G11), "")</f>
        <v>0.24414525937919757</v>
      </c>
    </row>
    <row r="10" spans="1:15" ht="15.75" customHeight="1" x14ac:dyDescent="0.25">
      <c r="B10" s="5" t="s">
        <v>119</v>
      </c>
      <c r="C10" s="45">
        <v>7.4508837978260592E-2</v>
      </c>
      <c r="D10" s="53">
        <v>7.4508837978260592E-2</v>
      </c>
      <c r="E10" s="53">
        <v>0.106223732414144</v>
      </c>
      <c r="F10" s="53">
        <v>8.4788969847719692E-2</v>
      </c>
      <c r="G10" s="53">
        <v>4.7211848659870402E-2</v>
      </c>
    </row>
    <row r="11" spans="1:15" ht="15.75" customHeight="1" x14ac:dyDescent="0.25">
      <c r="B11" s="5" t="s">
        <v>120</v>
      </c>
      <c r="C11" s="45">
        <v>4.9788793084545202E-2</v>
      </c>
      <c r="D11" s="53">
        <v>4.9788793084545202E-2</v>
      </c>
      <c r="E11" s="53">
        <v>5.5284452709501899E-2</v>
      </c>
      <c r="F11" s="53">
        <v>4.3006511088064803E-2</v>
      </c>
      <c r="G11" s="53">
        <v>2.1012943084603702E-2</v>
      </c>
    </row>
    <row r="12" spans="1:15" ht="15.75" customHeight="1" x14ac:dyDescent="0.25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5">
      <c r="A13" s="8" t="s">
        <v>121</v>
      </c>
      <c r="C13" s="11" t="s">
        <v>109</v>
      </c>
      <c r="D13" s="11" t="s">
        <v>96</v>
      </c>
      <c r="E13" s="11" t="s">
        <v>97</v>
      </c>
      <c r="F13" s="11" t="s">
        <v>98</v>
      </c>
      <c r="G13" s="11" t="s">
        <v>99</v>
      </c>
      <c r="H13" s="18" t="s">
        <v>122</v>
      </c>
      <c r="I13" s="18" t="s">
        <v>123</v>
      </c>
      <c r="J13" s="18" t="s">
        <v>124</v>
      </c>
      <c r="K13" s="18" t="s">
        <v>125</v>
      </c>
      <c r="L13" s="18" t="s">
        <v>69</v>
      </c>
      <c r="M13" s="18" t="s">
        <v>70</v>
      </c>
      <c r="N13" s="18" t="s">
        <v>71</v>
      </c>
      <c r="O13" s="18" t="s">
        <v>72</v>
      </c>
    </row>
    <row r="14" spans="1:15" ht="15.75" customHeight="1" x14ac:dyDescent="0.25">
      <c r="B14" s="11" t="s">
        <v>126</v>
      </c>
      <c r="C14" s="51">
        <v>0.48720162700000003</v>
      </c>
      <c r="D14" s="54">
        <v>0.481282526652</v>
      </c>
      <c r="E14" s="54">
        <v>0.481282526652</v>
      </c>
      <c r="F14" s="54">
        <v>0.54058460914799999</v>
      </c>
      <c r="G14" s="54">
        <v>0.54058460914799999</v>
      </c>
      <c r="H14" s="45">
        <v>0.52100000000000002</v>
      </c>
      <c r="I14" s="55">
        <v>0.52100000000000002</v>
      </c>
      <c r="J14" s="55">
        <v>0.52100000000000002</v>
      </c>
      <c r="K14" s="55">
        <v>0.52100000000000002</v>
      </c>
      <c r="L14" s="45">
        <v>0.42799999999999999</v>
      </c>
      <c r="M14" s="55">
        <v>0.42799999999999999</v>
      </c>
      <c r="N14" s="55">
        <v>0.42799999999999999</v>
      </c>
      <c r="O14" s="55">
        <v>0.42799999999999999</v>
      </c>
    </row>
    <row r="15" spans="1:15" ht="15.75" customHeight="1" x14ac:dyDescent="0.25">
      <c r="B15" s="11" t="s">
        <v>127</v>
      </c>
      <c r="C15" s="52">
        <f t="shared" ref="C15:O15" si="0">iron_deficiency_anaemia*C14</f>
        <v>0.20912204155883699</v>
      </c>
      <c r="D15" s="52">
        <f t="shared" si="0"/>
        <v>0.20658138019736461</v>
      </c>
      <c r="E15" s="52">
        <f t="shared" si="0"/>
        <v>0.20658138019736461</v>
      </c>
      <c r="F15" s="52">
        <f t="shared" si="0"/>
        <v>0.23203567236920516</v>
      </c>
      <c r="G15" s="52">
        <f t="shared" si="0"/>
        <v>0.23203567236920516</v>
      </c>
      <c r="H15" s="52">
        <f t="shared" si="0"/>
        <v>0.223629351</v>
      </c>
      <c r="I15" s="52">
        <f t="shared" si="0"/>
        <v>0.223629351</v>
      </c>
      <c r="J15" s="52">
        <f t="shared" si="0"/>
        <v>0.223629351</v>
      </c>
      <c r="K15" s="52">
        <f t="shared" si="0"/>
        <v>0.223629351</v>
      </c>
      <c r="L15" s="52">
        <f t="shared" si="0"/>
        <v>0.18371086799999997</v>
      </c>
      <c r="M15" s="52">
        <f t="shared" si="0"/>
        <v>0.18371086799999997</v>
      </c>
      <c r="N15" s="52">
        <f t="shared" si="0"/>
        <v>0.18371086799999997</v>
      </c>
      <c r="O15" s="52">
        <f t="shared" si="0"/>
        <v>0.18371086799999997</v>
      </c>
    </row>
    <row r="16" spans="1:15" ht="15.75" customHeight="1" x14ac:dyDescent="0.25">
      <c r="C16" s="6"/>
      <c r="D16" s="6"/>
      <c r="E16" s="6"/>
      <c r="F16" s="6"/>
      <c r="G16" s="6"/>
    </row>
    <row r="17" spans="3:7" ht="15.75" customHeight="1" x14ac:dyDescent="0.25">
      <c r="C17" s="6"/>
      <c r="D17" s="6"/>
      <c r="E17" s="6"/>
      <c r="F17" s="6"/>
      <c r="G17" s="6"/>
    </row>
  </sheetData>
  <sheetProtection algorithmName="SHA-512" hashValue="vjQOpt7k4o4SWWBXXzELeNHxwtx0OHGSEGG/WmVDr+eMWkagbiEhIEPK9D8ir2s6vowjHS2/u+rZMjLegrGH/w==" saltValue="dQb2U2Xh2P+KZm+qudgUa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:G4"/>
    </sheetView>
  </sheetViews>
  <sheetFormatPr defaultColWidth="8.90625" defaultRowHeight="12.5" x14ac:dyDescent="0.25"/>
  <cols>
    <col min="1" max="1" width="28.90625" customWidth="1"/>
    <col min="2" max="7" width="13.453125" customWidth="1"/>
  </cols>
  <sheetData>
    <row r="1" spans="1:7" ht="40.5" customHeight="1" x14ac:dyDescent="0.3">
      <c r="A1" s="22" t="str">
        <f>"Pourcentage des enfants dans chaque catégorie pendant l'année de référence ("&amp;start_year&amp;")"</f>
        <v>Pourcentage des enfants dans chaque catégorie pendant l'année de référence (2021)</v>
      </c>
      <c r="B1" s="1" t="s">
        <v>110</v>
      </c>
      <c r="C1" s="8" t="s">
        <v>109</v>
      </c>
      <c r="D1" s="8" t="s">
        <v>96</v>
      </c>
      <c r="E1" s="8" t="s">
        <v>97</v>
      </c>
      <c r="F1" s="8" t="s">
        <v>98</v>
      </c>
      <c r="G1" s="8" t="s">
        <v>99</v>
      </c>
    </row>
    <row r="2" spans="1:7" x14ac:dyDescent="0.25">
      <c r="A2" s="3" t="s">
        <v>128</v>
      </c>
      <c r="B2" s="3" t="s">
        <v>129</v>
      </c>
      <c r="C2" s="45">
        <v>0.45592287297741801</v>
      </c>
      <c r="D2" s="53">
        <v>0.280937540715686</v>
      </c>
      <c r="E2" s="53"/>
      <c r="F2" s="53"/>
      <c r="G2" s="53"/>
    </row>
    <row r="3" spans="1:7" x14ac:dyDescent="0.25">
      <c r="B3" s="3" t="s">
        <v>130</v>
      </c>
      <c r="C3" s="53">
        <v>0.39208534616123702</v>
      </c>
      <c r="D3" s="53">
        <v>0.41964019980392198</v>
      </c>
      <c r="E3" s="53"/>
      <c r="F3" s="53"/>
      <c r="G3" s="53"/>
    </row>
    <row r="4" spans="1:7" x14ac:dyDescent="0.25">
      <c r="B4" s="3" t="s">
        <v>131</v>
      </c>
      <c r="C4" s="53">
        <v>0.119288975244239</v>
      </c>
      <c r="D4" s="53">
        <v>0.26842458431372501</v>
      </c>
      <c r="E4" s="53">
        <v>0.95333877377126397</v>
      </c>
      <c r="F4" s="53">
        <v>0.71441323901044895</v>
      </c>
      <c r="G4" s="53"/>
    </row>
    <row r="5" spans="1:7" x14ac:dyDescent="0.25">
      <c r="B5" s="3" t="s">
        <v>132</v>
      </c>
      <c r="C5" s="52">
        <v>3.2742075871431603E-2</v>
      </c>
      <c r="D5" s="52">
        <v>3.0851552402768E-2</v>
      </c>
      <c r="E5" s="52">
        <f>1-SUM(E2:E4)</f>
        <v>4.666122622873603E-2</v>
      </c>
      <c r="F5" s="52">
        <f>1-SUM(F2:F4)</f>
        <v>0.28558676098955105</v>
      </c>
      <c r="G5" s="52">
        <f>1-SUM(G2:G4)</f>
        <v>1</v>
      </c>
    </row>
  </sheetData>
  <sheetProtection algorithmName="SHA-512" hashValue="ESmboFCw6Zvo4MIcIczpP9+fpcS6xEFEHNvMzK7hW206I/48xEKB1WZ8NQTIMT9NQReXrHbofPPxnbsyGUs/jw==" saltValue="mLVRDzdv4+Vw+jhJvRwrqg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90625" defaultRowHeight="12.5" x14ac:dyDescent="0.25"/>
  <cols>
    <col min="1" max="1" width="37" customWidth="1"/>
    <col min="2" max="2" width="29.453125" customWidth="1"/>
  </cols>
  <sheetData>
    <row r="1" spans="1:11" ht="13" customHeight="1" x14ac:dyDescent="0.3">
      <c r="A1" s="4" t="s">
        <v>133</v>
      </c>
      <c r="B1" s="4" t="s">
        <v>3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ht="13.25" customHeight="1" x14ac:dyDescent="0.25">
      <c r="A2" t="s">
        <v>134</v>
      </c>
      <c r="B2" s="9" t="s">
        <v>143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ht="13.25" customHeight="1" x14ac:dyDescent="0.25">
      <c r="B3" s="9"/>
    </row>
    <row r="4" spans="1:11" ht="13.25" customHeight="1" x14ac:dyDescent="0.25">
      <c r="A4" t="s">
        <v>135</v>
      </c>
      <c r="B4" s="9" t="s">
        <v>143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ht="13.25" customHeight="1" x14ac:dyDescent="0.25">
      <c r="B5" s="9"/>
    </row>
    <row r="6" spans="1:11" ht="13.25" customHeight="1" x14ac:dyDescent="0.25">
      <c r="A6" t="s">
        <v>136</v>
      </c>
      <c r="B6" s="9" t="s">
        <v>143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ht="13.25" customHeight="1" x14ac:dyDescent="0.25">
      <c r="B7" s="9" t="s">
        <v>100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ht="13.25" customHeight="1" x14ac:dyDescent="0.25">
      <c r="B8" s="9" t="s">
        <v>137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ht="13.25" customHeight="1" x14ac:dyDescent="0.25">
      <c r="A10" t="s">
        <v>138</v>
      </c>
      <c r="B10" s="11" t="s">
        <v>139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ht="13.25" customHeight="1" x14ac:dyDescent="0.25">
      <c r="B11" s="11" t="s">
        <v>140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ht="13.25" customHeight="1" x14ac:dyDescent="0.25">
      <c r="A13" s="8" t="s">
        <v>43</v>
      </c>
      <c r="B13" s="11" t="s">
        <v>141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ht="13.25" customHeight="1" x14ac:dyDescent="0.25">
      <c r="B14" s="11" t="s">
        <v>142</v>
      </c>
      <c r="C14" s="23"/>
      <c r="D14" s="23"/>
      <c r="E14" s="23"/>
      <c r="F14" s="23"/>
      <c r="G14" s="23"/>
      <c r="H14" s="23"/>
      <c r="I14" s="23"/>
      <c r="J14" s="23"/>
      <c r="K14" s="23"/>
    </row>
  </sheetData>
  <sheetProtection algorithmName="SHA-512" hashValue="1KysBxWMXZRRh290G+NJ46ktaPQP3yplPSkmq9O8caJx3l3FB8DpCTaUJuCgzBl2XXXoCXoj4+GukVDIvO/E9Q==" saltValue="c5Z5e+iB40k2r5RNkPaj+w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2.5" x14ac:dyDescent="0.25"/>
  <cols>
    <col min="1" max="1" width="36.453125" bestFit="1" customWidth="1"/>
    <col min="2" max="2" width="15.36328125" customWidth="1"/>
  </cols>
  <sheetData>
    <row r="1" spans="1:2" ht="13" customHeight="1" x14ac:dyDescent="0.3">
      <c r="A1" s="4" t="s">
        <v>4</v>
      </c>
      <c r="B1" s="4" t="s">
        <v>144</v>
      </c>
    </row>
    <row r="2" spans="1:2" ht="13.25" customHeight="1" x14ac:dyDescent="0.25">
      <c r="A2" s="8" t="s">
        <v>145</v>
      </c>
      <c r="B2" s="41">
        <v>10</v>
      </c>
    </row>
    <row r="3" spans="1:2" ht="13.25" customHeight="1" x14ac:dyDescent="0.25">
      <c r="A3" s="8" t="s">
        <v>150</v>
      </c>
      <c r="B3" s="41">
        <v>10</v>
      </c>
    </row>
    <row r="4" spans="1:2" ht="13.25" customHeight="1" x14ac:dyDescent="0.25">
      <c r="A4" s="8" t="s">
        <v>146</v>
      </c>
      <c r="B4" s="41">
        <v>10</v>
      </c>
    </row>
    <row r="5" spans="1:2" ht="13.25" customHeight="1" x14ac:dyDescent="0.25">
      <c r="A5" s="8" t="s">
        <v>147</v>
      </c>
      <c r="B5" s="41">
        <v>10</v>
      </c>
    </row>
    <row r="6" spans="1:2" ht="13.25" customHeight="1" x14ac:dyDescent="0.25">
      <c r="A6" s="8" t="s">
        <v>148</v>
      </c>
      <c r="B6" s="41">
        <v>10</v>
      </c>
    </row>
    <row r="7" spans="1:2" ht="13.25" customHeight="1" x14ac:dyDescent="0.25">
      <c r="A7" s="8" t="s">
        <v>149</v>
      </c>
      <c r="B7" s="41">
        <v>10</v>
      </c>
    </row>
  </sheetData>
  <sheetProtection algorithmName="SHA-512" hashValue="qWYUm41tccHDWtQiDPgpu8+e/g/mIJg/QwGl5X/sfhUiLzTZEFDsAGkSYNsgKNPV8f217MOgcxfK3DE3UscCWw==" saltValue="iRQZZT+YjPpux+WegSnXrw==" spinCount="100000" sheet="1" objects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topLeftCell="A3" zoomScale="115" zoomScaleNormal="115" workbookViewId="0">
      <selection activeCell="D12" sqref="D12:D13"/>
    </sheetView>
  </sheetViews>
  <sheetFormatPr defaultColWidth="11.453125" defaultRowHeight="12.5" x14ac:dyDescent="0.25"/>
  <cols>
    <col min="1" max="1" width="17" style="8" customWidth="1"/>
    <col min="2" max="2" width="19.08984375" style="8" customWidth="1"/>
    <col min="3" max="3" width="13.453125" style="8" customWidth="1"/>
    <col min="4" max="4" width="11.453125" style="8" customWidth="1"/>
    <col min="5" max="16384" width="11.453125" style="8"/>
  </cols>
  <sheetData>
    <row r="1" spans="1:5" ht="13" customHeight="1" x14ac:dyDescent="0.3">
      <c r="A1" s="35" t="s">
        <v>151</v>
      </c>
      <c r="B1" s="36" t="s">
        <v>152</v>
      </c>
      <c r="C1" s="36" t="s">
        <v>153</v>
      </c>
      <c r="D1" s="36" t="s">
        <v>154</v>
      </c>
      <c r="E1" s="36" t="s">
        <v>155</v>
      </c>
    </row>
    <row r="2" spans="1:5" ht="13" customHeight="1" x14ac:dyDescent="0.3">
      <c r="A2" s="34" t="s">
        <v>157</v>
      </c>
      <c r="B2" s="32" t="s">
        <v>100</v>
      </c>
      <c r="C2" s="47"/>
      <c r="D2" s="47"/>
      <c r="E2" s="38" t="str">
        <f>IF(E$7="","",E$7)</f>
        <v/>
      </c>
    </row>
    <row r="3" spans="1:5" ht="13.25" customHeight="1" x14ac:dyDescent="0.25">
      <c r="B3" s="32" t="s">
        <v>109</v>
      </c>
      <c r="C3" s="47"/>
      <c r="D3" s="47" t="s">
        <v>5</v>
      </c>
      <c r="E3" s="38" t="str">
        <f>IF(E$7="","",E$7)</f>
        <v/>
      </c>
    </row>
    <row r="4" spans="1:5" ht="13.25" customHeight="1" x14ac:dyDescent="0.25">
      <c r="B4" s="32" t="s">
        <v>96</v>
      </c>
      <c r="C4" s="47"/>
      <c r="D4" s="47" t="s">
        <v>5</v>
      </c>
      <c r="E4" s="38" t="str">
        <f>IF(E$7="","",E$7)</f>
        <v/>
      </c>
    </row>
    <row r="5" spans="1:5" ht="13.25" customHeight="1" x14ac:dyDescent="0.25">
      <c r="B5" s="32" t="s">
        <v>97</v>
      </c>
      <c r="C5" s="47"/>
      <c r="D5" s="47"/>
      <c r="E5" s="38" t="str">
        <f>IF(E$7="","",E$7)</f>
        <v/>
      </c>
    </row>
    <row r="6" spans="1:5" ht="13.25" customHeight="1" x14ac:dyDescent="0.25">
      <c r="B6" s="32" t="s">
        <v>98</v>
      </c>
      <c r="C6" s="47"/>
      <c r="D6" s="47"/>
      <c r="E6" s="38" t="str">
        <f>IF(E$7="","",E$7)</f>
        <v/>
      </c>
    </row>
    <row r="7" spans="1:5" ht="13.25" customHeight="1" x14ac:dyDescent="0.25">
      <c r="B7" s="32" t="s">
        <v>156</v>
      </c>
      <c r="C7" s="31"/>
      <c r="D7" s="30"/>
      <c r="E7" s="47"/>
    </row>
    <row r="9" spans="1:5" ht="13" customHeight="1" x14ac:dyDescent="0.3">
      <c r="A9" s="34" t="s">
        <v>158</v>
      </c>
      <c r="B9" s="32" t="s">
        <v>100</v>
      </c>
      <c r="C9" s="47"/>
      <c r="D9" s="47"/>
      <c r="E9" s="38" t="str">
        <f>IF(E$7="","",E$7)</f>
        <v/>
      </c>
    </row>
    <row r="10" spans="1:5" ht="13.25" customHeight="1" x14ac:dyDescent="0.25">
      <c r="B10" s="32" t="s">
        <v>109</v>
      </c>
      <c r="C10" s="47"/>
      <c r="D10" s="47"/>
      <c r="E10" s="38" t="str">
        <f>IF(E$7="","",E$7)</f>
        <v/>
      </c>
    </row>
    <row r="11" spans="1:5" ht="13.25" customHeight="1" x14ac:dyDescent="0.25">
      <c r="B11" s="32" t="s">
        <v>96</v>
      </c>
      <c r="C11" s="47"/>
      <c r="D11" s="47"/>
      <c r="E11" s="38" t="str">
        <f>IF(E$7="","",E$7)</f>
        <v/>
      </c>
    </row>
    <row r="12" spans="1:5" ht="13.25" customHeight="1" x14ac:dyDescent="0.25">
      <c r="B12" s="32" t="s">
        <v>97</v>
      </c>
      <c r="C12" s="47"/>
      <c r="D12" s="47" t="s">
        <v>5</v>
      </c>
      <c r="E12" s="38" t="str">
        <f>IF(E$7="","",E$7)</f>
        <v/>
      </c>
    </row>
    <row r="13" spans="1:5" ht="13.25" customHeight="1" x14ac:dyDescent="0.25">
      <c r="B13" s="32" t="s">
        <v>98</v>
      </c>
      <c r="C13" s="47"/>
      <c r="D13" s="47" t="s">
        <v>5</v>
      </c>
      <c r="E13" s="38" t="str">
        <f>IF(E$7="","",E$7)</f>
        <v/>
      </c>
    </row>
    <row r="14" spans="1:5" ht="13.25" customHeight="1" x14ac:dyDescent="0.25">
      <c r="B14" s="32" t="s">
        <v>156</v>
      </c>
      <c r="C14" s="31"/>
      <c r="D14" s="30"/>
      <c r="E14" s="47"/>
    </row>
    <row r="16" spans="1:5" ht="13" customHeight="1" x14ac:dyDescent="0.3">
      <c r="A16" s="34" t="s">
        <v>159</v>
      </c>
      <c r="B16" s="32" t="s">
        <v>100</v>
      </c>
      <c r="C16" s="47"/>
      <c r="D16" s="47" t="s">
        <v>5</v>
      </c>
      <c r="E16" s="38" t="str">
        <f>IF(E$7="","",E$7)</f>
        <v/>
      </c>
    </row>
    <row r="17" spans="2:5" ht="13.25" customHeight="1" x14ac:dyDescent="0.25">
      <c r="B17" s="32" t="s">
        <v>109</v>
      </c>
      <c r="C17" s="47"/>
      <c r="D17" s="47" t="s">
        <v>5</v>
      </c>
      <c r="E17" s="38" t="str">
        <f>IF(E$7="","",E$7)</f>
        <v/>
      </c>
    </row>
    <row r="18" spans="2:5" ht="13.25" customHeight="1" x14ac:dyDescent="0.25">
      <c r="B18" s="32" t="s">
        <v>96</v>
      </c>
      <c r="C18" s="47"/>
      <c r="D18" s="47" t="s">
        <v>5</v>
      </c>
      <c r="E18" s="38" t="str">
        <f>IF(E$7="","",E$7)</f>
        <v/>
      </c>
    </row>
    <row r="19" spans="2:5" ht="13.25" customHeight="1" x14ac:dyDescent="0.25">
      <c r="B19" s="32" t="s">
        <v>97</v>
      </c>
      <c r="C19" s="47"/>
      <c r="D19" s="47" t="s">
        <v>5</v>
      </c>
      <c r="E19" s="38" t="str">
        <f>IF(E$7="","",E$7)</f>
        <v/>
      </c>
    </row>
    <row r="20" spans="2:5" ht="13.25" customHeight="1" x14ac:dyDescent="0.25">
      <c r="B20" s="32" t="s">
        <v>98</v>
      </c>
      <c r="C20" s="47"/>
      <c r="D20" s="47" t="s">
        <v>5</v>
      </c>
      <c r="E20" s="38" t="str">
        <f>IF(E$7="","",E$7)</f>
        <v/>
      </c>
    </row>
    <row r="21" spans="2:5" ht="13.25" customHeight="1" x14ac:dyDescent="0.25">
      <c r="B21" s="32" t="s">
        <v>156</v>
      </c>
      <c r="C21" s="31"/>
      <c r="D21" s="30"/>
      <c r="E21" s="47"/>
    </row>
  </sheetData>
  <sheetProtection algorithmName="SHA-512" hashValue="7uvGM0Jn5EaFIb6GWGfQvdvvhCYY8u5dKIO6JHp76NlmTk3INPtUZAHc3Tlx3ZBCez79Sv0/mpAkvvpmTQJiNA==" saltValue="QNNENQV7Rd1GPKrMH/1Iy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90625" defaultRowHeight="12.5" x14ac:dyDescent="0.25"/>
  <cols>
    <col min="1" max="1" width="15.6328125" customWidth="1"/>
    <col min="2" max="2" width="15.453125" customWidth="1"/>
    <col min="3" max="3" width="17.453125" customWidth="1"/>
    <col min="4" max="4" width="12.90625" customWidth="1"/>
  </cols>
  <sheetData>
    <row r="1" spans="1:4" ht="13" customHeight="1" x14ac:dyDescent="0.3">
      <c r="A1" s="39" t="s">
        <v>0</v>
      </c>
      <c r="B1" s="36" t="s">
        <v>162</v>
      </c>
      <c r="C1" s="40" t="s">
        <v>6</v>
      </c>
      <c r="D1" s="40" t="s">
        <v>163</v>
      </c>
    </row>
    <row r="2" spans="1:4" ht="13" customHeight="1" x14ac:dyDescent="0.3">
      <c r="A2" s="40" t="s">
        <v>160</v>
      </c>
      <c r="B2" s="32" t="s">
        <v>161</v>
      </c>
      <c r="C2" s="32" t="s">
        <v>165</v>
      </c>
      <c r="D2" s="47"/>
    </row>
    <row r="3" spans="1:4" ht="13" customHeight="1" x14ac:dyDescent="0.3">
      <c r="A3" s="40" t="s">
        <v>164</v>
      </c>
      <c r="B3" s="32" t="s">
        <v>153</v>
      </c>
      <c r="C3" s="32" t="s">
        <v>154</v>
      </c>
      <c r="D3" s="47"/>
    </row>
  </sheetData>
  <sheetProtection algorithmName="SHA-512" hashValue="hULhi9/blVA3xU08OV4MBTOeNzHyh/nDKg2U6kesHnHg5J/3ix9zeYBtZRLeDcgWXBwBa0+a9GJsEe6bB0/04g==" saltValue="MGl33I3pzFHgMSQTvAetvg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E32" sqref="E32"/>
    </sheetView>
  </sheetViews>
  <sheetFormatPr defaultColWidth="14.453125" defaultRowHeight="15.75" customHeight="1" x14ac:dyDescent="0.25"/>
  <cols>
    <col min="1" max="1" width="56" style="5" customWidth="1"/>
    <col min="2" max="2" width="20" style="8" customWidth="1"/>
    <col min="3" max="3" width="20.453125" style="8" customWidth="1"/>
    <col min="4" max="4" width="20.08984375" style="8" customWidth="1"/>
    <col min="5" max="5" width="36.36328125" style="8" bestFit="1" customWidth="1"/>
    <col min="6" max="6" width="23" style="8" bestFit="1" customWidth="1"/>
    <col min="7" max="7" width="22.6328125" style="8" bestFit="1" customWidth="1"/>
    <col min="8" max="8" width="14.453125" style="8" customWidth="1"/>
    <col min="9" max="16384" width="14.453125" style="8"/>
  </cols>
  <sheetData>
    <row r="1" spans="1:7" ht="26" customHeight="1" x14ac:dyDescent="0.3">
      <c r="A1" s="1" t="s">
        <v>160</v>
      </c>
      <c r="B1" s="22" t="str">
        <f>"Couverture de l'année de référence ("&amp;start_year&amp;")"</f>
        <v>Couverture de l'année de référence (2021)</v>
      </c>
      <c r="C1" s="22" t="s">
        <v>166</v>
      </c>
      <c r="D1" s="22" t="s">
        <v>202</v>
      </c>
      <c r="E1" s="22" t="s">
        <v>167</v>
      </c>
      <c r="F1" s="22" t="s">
        <v>203</v>
      </c>
      <c r="G1" s="22" t="s">
        <v>204</v>
      </c>
    </row>
    <row r="2" spans="1:7" ht="15.75" customHeight="1" x14ac:dyDescent="0.25">
      <c r="A2" s="5" t="s">
        <v>168</v>
      </c>
      <c r="B2" s="45">
        <v>0</v>
      </c>
      <c r="C2" s="98">
        <v>0.95</v>
      </c>
      <c r="D2" s="56">
        <v>87.391752012908441</v>
      </c>
      <c r="E2" s="56" t="s">
        <v>201</v>
      </c>
      <c r="F2" s="98">
        <v>1</v>
      </c>
      <c r="G2" s="98">
        <v>1</v>
      </c>
    </row>
    <row r="3" spans="1:7" ht="15.75" customHeight="1" x14ac:dyDescent="0.25">
      <c r="A3" s="5" t="s">
        <v>169</v>
      </c>
      <c r="B3" s="45">
        <v>0</v>
      </c>
      <c r="C3" s="98">
        <v>0.95</v>
      </c>
      <c r="D3" s="56">
        <v>40.53825169220913</v>
      </c>
      <c r="E3" s="56" t="s">
        <v>201</v>
      </c>
      <c r="F3" s="98">
        <v>1</v>
      </c>
      <c r="G3" s="98">
        <v>1</v>
      </c>
    </row>
    <row r="4" spans="1:7" ht="15.75" customHeight="1" x14ac:dyDescent="0.25">
      <c r="A4" s="5" t="s">
        <v>170</v>
      </c>
      <c r="B4" s="98">
        <v>0</v>
      </c>
      <c r="C4" s="98">
        <v>0.95</v>
      </c>
      <c r="D4" s="56">
        <v>874.73534732467272</v>
      </c>
      <c r="E4" s="56" t="s">
        <v>201</v>
      </c>
      <c r="F4" s="98">
        <v>1</v>
      </c>
      <c r="G4" s="98">
        <v>1</v>
      </c>
    </row>
    <row r="5" spans="1:7" ht="15.75" customHeight="1" x14ac:dyDescent="0.25">
      <c r="A5" s="5" t="s">
        <v>171</v>
      </c>
      <c r="B5" s="98">
        <v>0</v>
      </c>
      <c r="C5" s="98">
        <v>0.95</v>
      </c>
      <c r="D5" s="56">
        <v>0.93694880533897928</v>
      </c>
      <c r="E5" s="56" t="s">
        <v>201</v>
      </c>
      <c r="F5" s="98">
        <v>1</v>
      </c>
      <c r="G5" s="98">
        <v>1</v>
      </c>
    </row>
    <row r="6" spans="1:7" ht="15.75" customHeight="1" x14ac:dyDescent="0.25">
      <c r="A6" s="5" t="s">
        <v>172</v>
      </c>
      <c r="B6" s="98">
        <v>0</v>
      </c>
      <c r="C6" s="98">
        <v>0.95</v>
      </c>
      <c r="D6" s="56">
        <v>99.99</v>
      </c>
      <c r="E6" s="56" t="s">
        <v>201</v>
      </c>
      <c r="F6" s="98">
        <v>1</v>
      </c>
      <c r="G6" s="98">
        <v>1</v>
      </c>
    </row>
    <row r="7" spans="1:7" ht="15.75" customHeight="1" x14ac:dyDescent="0.25">
      <c r="A7" s="5" t="s">
        <v>173</v>
      </c>
      <c r="B7" s="98">
        <v>0</v>
      </c>
      <c r="C7" s="98">
        <v>0.95</v>
      </c>
      <c r="D7" s="56">
        <v>99.99</v>
      </c>
      <c r="E7" s="56" t="s">
        <v>201</v>
      </c>
      <c r="F7" s="98">
        <v>1</v>
      </c>
      <c r="G7" s="98">
        <v>1</v>
      </c>
    </row>
    <row r="8" spans="1:7" ht="15.75" customHeight="1" x14ac:dyDescent="0.25">
      <c r="A8" s="5" t="s">
        <v>174</v>
      </c>
      <c r="B8" s="98">
        <v>0</v>
      </c>
      <c r="C8" s="98">
        <v>0.95</v>
      </c>
      <c r="D8" s="56">
        <v>99.99</v>
      </c>
      <c r="E8" s="56" t="s">
        <v>201</v>
      </c>
      <c r="F8" s="98">
        <v>1</v>
      </c>
      <c r="G8" s="98">
        <v>1</v>
      </c>
    </row>
    <row r="9" spans="1:7" ht="15.75" customHeight="1" x14ac:dyDescent="0.25">
      <c r="A9" s="5" t="s">
        <v>175</v>
      </c>
      <c r="B9" s="98">
        <v>0</v>
      </c>
      <c r="C9" s="98">
        <v>0.95</v>
      </c>
      <c r="D9" s="56">
        <v>99.99</v>
      </c>
      <c r="E9" s="56" t="s">
        <v>201</v>
      </c>
      <c r="F9" s="98">
        <v>1</v>
      </c>
      <c r="G9" s="98">
        <v>1</v>
      </c>
    </row>
    <row r="10" spans="1:7" ht="15.75" customHeight="1" x14ac:dyDescent="0.25">
      <c r="A10" s="11" t="s">
        <v>176</v>
      </c>
      <c r="B10" s="45">
        <v>0</v>
      </c>
      <c r="C10" s="98">
        <v>0.95</v>
      </c>
      <c r="D10" s="56">
        <v>13.67055113600504</v>
      </c>
      <c r="E10" s="56" t="s">
        <v>201</v>
      </c>
      <c r="F10" s="98">
        <v>1</v>
      </c>
      <c r="G10" s="98">
        <v>1</v>
      </c>
    </row>
    <row r="11" spans="1:7" ht="15.75" customHeight="1" x14ac:dyDescent="0.25">
      <c r="A11" s="11" t="s">
        <v>177</v>
      </c>
      <c r="B11" s="98">
        <v>0</v>
      </c>
      <c r="C11" s="98">
        <v>0.95</v>
      </c>
      <c r="D11" s="56">
        <v>13.67055113600504</v>
      </c>
      <c r="E11" s="56" t="s">
        <v>201</v>
      </c>
      <c r="F11" s="98">
        <v>1</v>
      </c>
      <c r="G11" s="98">
        <v>1</v>
      </c>
    </row>
    <row r="12" spans="1:7" ht="15.75" customHeight="1" x14ac:dyDescent="0.25">
      <c r="A12" s="11" t="s">
        <v>178</v>
      </c>
      <c r="B12" s="98">
        <v>0</v>
      </c>
      <c r="C12" s="98">
        <v>0.95</v>
      </c>
      <c r="D12" s="56">
        <v>13.67055113600504</v>
      </c>
      <c r="E12" s="56" t="s">
        <v>201</v>
      </c>
      <c r="F12" s="98">
        <v>1</v>
      </c>
      <c r="G12" s="98">
        <v>1</v>
      </c>
    </row>
    <row r="13" spans="1:7" ht="15.75" customHeight="1" x14ac:dyDescent="0.25">
      <c r="A13" s="11" t="s">
        <v>179</v>
      </c>
      <c r="B13" s="98">
        <v>0</v>
      </c>
      <c r="C13" s="98">
        <v>0.95</v>
      </c>
      <c r="D13" s="56">
        <v>13.67055113600504</v>
      </c>
      <c r="E13" s="56" t="s">
        <v>201</v>
      </c>
      <c r="F13" s="98">
        <v>1</v>
      </c>
      <c r="G13" s="98">
        <v>1</v>
      </c>
    </row>
    <row r="14" spans="1:7" ht="15.75" customHeight="1" x14ac:dyDescent="0.25">
      <c r="A14" s="5" t="s">
        <v>180</v>
      </c>
      <c r="B14" s="45">
        <v>0</v>
      </c>
      <c r="C14" s="98">
        <v>0.95</v>
      </c>
      <c r="D14" s="56">
        <v>13.67055113600504</v>
      </c>
      <c r="E14" s="56" t="s">
        <v>201</v>
      </c>
      <c r="F14" s="98">
        <v>1</v>
      </c>
      <c r="G14" s="98">
        <v>1</v>
      </c>
    </row>
    <row r="15" spans="1:7" ht="15.75" customHeight="1" x14ac:dyDescent="0.25">
      <c r="A15" s="5" t="s">
        <v>181</v>
      </c>
      <c r="B15" s="98">
        <v>0</v>
      </c>
      <c r="C15" s="98">
        <v>0.95</v>
      </c>
      <c r="D15" s="56">
        <v>13.67055113600504</v>
      </c>
      <c r="E15" s="56" t="s">
        <v>201</v>
      </c>
      <c r="F15" s="98">
        <v>1</v>
      </c>
      <c r="G15" s="98">
        <v>1</v>
      </c>
    </row>
    <row r="16" spans="1:7" ht="15.75" customHeight="1" x14ac:dyDescent="0.25">
      <c r="A16" s="5" t="s">
        <v>182</v>
      </c>
      <c r="B16" s="45">
        <v>0</v>
      </c>
      <c r="C16" s="98">
        <v>0.95</v>
      </c>
      <c r="D16" s="56">
        <v>1.3773362239396929</v>
      </c>
      <c r="E16" s="56" t="s">
        <v>201</v>
      </c>
      <c r="F16" s="98">
        <v>1</v>
      </c>
      <c r="G16" s="98">
        <v>1</v>
      </c>
    </row>
    <row r="17" spans="1:7" ht="15.75" customHeight="1" x14ac:dyDescent="0.25">
      <c r="A17" s="5" t="s">
        <v>183</v>
      </c>
      <c r="B17" s="98">
        <v>0.65</v>
      </c>
      <c r="C17" s="98">
        <v>0.95</v>
      </c>
      <c r="D17" s="56">
        <v>0.1369044839662158</v>
      </c>
      <c r="E17" s="56" t="s">
        <v>201</v>
      </c>
      <c r="F17" s="98">
        <v>1</v>
      </c>
      <c r="G17" s="98">
        <v>1</v>
      </c>
    </row>
    <row r="18" spans="1:7" ht="15.9" customHeight="1" x14ac:dyDescent="0.25">
      <c r="A18" s="5" t="s">
        <v>157</v>
      </c>
      <c r="B18" s="98">
        <v>0</v>
      </c>
      <c r="C18" s="98">
        <v>0.95</v>
      </c>
      <c r="D18" s="56">
        <v>20.02723308412703</v>
      </c>
      <c r="E18" s="56" t="s">
        <v>201</v>
      </c>
      <c r="F18" s="98">
        <v>1</v>
      </c>
      <c r="G18" s="98">
        <v>1</v>
      </c>
    </row>
    <row r="19" spans="1:7" ht="15.75" customHeight="1" x14ac:dyDescent="0.25">
      <c r="A19" s="5" t="s">
        <v>158</v>
      </c>
      <c r="B19" s="98">
        <v>0</v>
      </c>
      <c r="C19" s="98">
        <v>0.95</v>
      </c>
      <c r="D19" s="56">
        <v>20.02723308412703</v>
      </c>
      <c r="E19" s="56" t="s">
        <v>201</v>
      </c>
      <c r="F19" s="98">
        <v>1</v>
      </c>
      <c r="G19" s="98">
        <v>1</v>
      </c>
    </row>
    <row r="20" spans="1:7" ht="15.75" customHeight="1" x14ac:dyDescent="0.25">
      <c r="A20" s="5" t="s">
        <v>159</v>
      </c>
      <c r="B20" s="98">
        <v>0</v>
      </c>
      <c r="C20" s="98">
        <v>0.95</v>
      </c>
      <c r="D20" s="56">
        <v>99.99</v>
      </c>
      <c r="E20" s="56" t="s">
        <v>201</v>
      </c>
      <c r="F20" s="98">
        <v>1</v>
      </c>
      <c r="G20" s="98">
        <v>1</v>
      </c>
    </row>
    <row r="21" spans="1:7" ht="15.75" customHeight="1" x14ac:dyDescent="0.25">
      <c r="A21" s="5" t="s">
        <v>184</v>
      </c>
      <c r="B21" s="45">
        <v>0</v>
      </c>
      <c r="C21" s="98">
        <v>0.95</v>
      </c>
      <c r="D21" s="56">
        <v>10.32305644607259</v>
      </c>
      <c r="E21" s="56" t="s">
        <v>201</v>
      </c>
      <c r="F21" s="98">
        <v>1</v>
      </c>
      <c r="G21" s="98">
        <v>1</v>
      </c>
    </row>
    <row r="22" spans="1:7" ht="15.75" customHeight="1" x14ac:dyDescent="0.25">
      <c r="A22" s="5" t="s">
        <v>185</v>
      </c>
      <c r="B22" s="98">
        <v>0</v>
      </c>
      <c r="C22" s="98">
        <v>0.95</v>
      </c>
      <c r="D22" s="56">
        <v>23.936202886472088</v>
      </c>
      <c r="E22" s="56" t="s">
        <v>201</v>
      </c>
      <c r="F22" s="98">
        <v>1</v>
      </c>
      <c r="G22" s="98">
        <v>1</v>
      </c>
    </row>
    <row r="23" spans="1:7" ht="15.75" customHeight="1" x14ac:dyDescent="0.25">
      <c r="A23" s="5" t="s">
        <v>186</v>
      </c>
      <c r="B23" s="98">
        <v>0</v>
      </c>
      <c r="C23" s="98">
        <v>0.95</v>
      </c>
      <c r="D23" s="56">
        <v>4.6908199698568867</v>
      </c>
      <c r="E23" s="56" t="s">
        <v>201</v>
      </c>
      <c r="F23" s="98">
        <v>1</v>
      </c>
      <c r="G23" s="98">
        <v>1</v>
      </c>
    </row>
    <row r="24" spans="1:7" ht="15.75" customHeight="1" x14ac:dyDescent="0.25">
      <c r="A24" s="5" t="s">
        <v>187</v>
      </c>
      <c r="B24" s="45">
        <v>0</v>
      </c>
      <c r="C24" s="98">
        <v>0.95</v>
      </c>
      <c r="D24" s="56">
        <v>99.99</v>
      </c>
      <c r="E24" s="56" t="s">
        <v>201</v>
      </c>
      <c r="F24" s="98">
        <v>1</v>
      </c>
      <c r="G24" s="98">
        <v>1</v>
      </c>
    </row>
    <row r="25" spans="1:7" ht="15.75" customHeight="1" x14ac:dyDescent="0.25">
      <c r="A25" s="5" t="s">
        <v>188</v>
      </c>
      <c r="B25" s="98">
        <v>0</v>
      </c>
      <c r="C25" s="98">
        <v>0.95</v>
      </c>
      <c r="D25" s="56">
        <v>99.99</v>
      </c>
      <c r="E25" s="56" t="s">
        <v>201</v>
      </c>
      <c r="F25" s="98">
        <v>1</v>
      </c>
      <c r="G25" s="98">
        <v>1</v>
      </c>
    </row>
    <row r="26" spans="1:7" ht="15.75" customHeight="1" x14ac:dyDescent="0.25">
      <c r="A26" s="5" t="s">
        <v>189</v>
      </c>
      <c r="B26" s="45">
        <v>0</v>
      </c>
      <c r="C26" s="98">
        <v>0.95</v>
      </c>
      <c r="D26" s="56">
        <v>99.99</v>
      </c>
      <c r="E26" s="56" t="s">
        <v>201</v>
      </c>
      <c r="F26" s="98">
        <v>1</v>
      </c>
      <c r="G26" s="98">
        <v>1</v>
      </c>
    </row>
    <row r="27" spans="1:7" ht="15.75" customHeight="1" x14ac:dyDescent="0.25">
      <c r="A27" s="5" t="s">
        <v>190</v>
      </c>
      <c r="B27" s="45">
        <v>0</v>
      </c>
      <c r="C27" s="98">
        <v>0.95</v>
      </c>
      <c r="D27" s="56">
        <v>19.219496467459528</v>
      </c>
      <c r="E27" s="56" t="s">
        <v>201</v>
      </c>
      <c r="F27" s="98">
        <v>1</v>
      </c>
      <c r="G27" s="98">
        <v>1</v>
      </c>
    </row>
    <row r="28" spans="1:7" ht="15.75" customHeight="1" x14ac:dyDescent="0.25">
      <c r="A28" s="5" t="s">
        <v>191</v>
      </c>
      <c r="B28" s="45">
        <v>0.40400000000000003</v>
      </c>
      <c r="C28" s="98">
        <v>0.95</v>
      </c>
      <c r="D28" s="56">
        <v>99.99</v>
      </c>
      <c r="E28" s="56" t="s">
        <v>201</v>
      </c>
      <c r="F28" s="98">
        <v>1</v>
      </c>
      <c r="G28" s="98">
        <v>1</v>
      </c>
    </row>
    <row r="29" spans="1:7" ht="15.75" customHeight="1" x14ac:dyDescent="0.25">
      <c r="A29" s="5" t="s">
        <v>192</v>
      </c>
      <c r="B29" s="45">
        <v>0</v>
      </c>
      <c r="C29" s="98">
        <v>0.95</v>
      </c>
      <c r="D29" s="56">
        <v>180.6631632031546</v>
      </c>
      <c r="E29" s="56" t="s">
        <v>201</v>
      </c>
      <c r="F29" s="98">
        <v>1</v>
      </c>
      <c r="G29" s="98">
        <v>1</v>
      </c>
    </row>
    <row r="30" spans="1:7" ht="15.75" customHeight="1" x14ac:dyDescent="0.25">
      <c r="A30" s="5" t="s">
        <v>205</v>
      </c>
      <c r="B30" s="98">
        <v>0</v>
      </c>
      <c r="C30" s="98">
        <v>0.95</v>
      </c>
      <c r="D30" s="56">
        <v>99</v>
      </c>
      <c r="E30" s="56" t="s">
        <v>201</v>
      </c>
      <c r="F30" s="98">
        <v>1</v>
      </c>
      <c r="G30" s="98">
        <v>1</v>
      </c>
    </row>
    <row r="31" spans="1:7" ht="15.75" customHeight="1" x14ac:dyDescent="0.25">
      <c r="A31" s="5" t="s">
        <v>161</v>
      </c>
      <c r="B31" s="45">
        <v>0</v>
      </c>
      <c r="C31" s="98">
        <v>0.95</v>
      </c>
      <c r="D31" s="56">
        <v>1.304771366326084</v>
      </c>
      <c r="E31" s="56" t="s">
        <v>201</v>
      </c>
      <c r="F31" s="98">
        <v>1</v>
      </c>
      <c r="G31" s="98">
        <v>1</v>
      </c>
    </row>
    <row r="32" spans="1:7" ht="15.75" customHeight="1" x14ac:dyDescent="0.25">
      <c r="A32" s="5" t="s">
        <v>193</v>
      </c>
      <c r="B32" s="45">
        <v>0</v>
      </c>
      <c r="C32" s="98">
        <v>0.95</v>
      </c>
      <c r="D32" s="56">
        <v>3.0250294891780638</v>
      </c>
      <c r="E32" s="56" t="s">
        <v>201</v>
      </c>
      <c r="F32" s="98">
        <v>1</v>
      </c>
      <c r="G32" s="98">
        <v>1</v>
      </c>
    </row>
    <row r="33" spans="1:7" ht="15.75" customHeight="1" x14ac:dyDescent="0.25">
      <c r="A33" s="5" t="s">
        <v>194</v>
      </c>
      <c r="B33" s="45">
        <v>0</v>
      </c>
      <c r="C33" s="98">
        <v>0.95</v>
      </c>
      <c r="D33" s="56">
        <v>99.99</v>
      </c>
      <c r="E33" s="56" t="s">
        <v>201</v>
      </c>
      <c r="F33" s="98">
        <v>1</v>
      </c>
      <c r="G33" s="98">
        <v>1</v>
      </c>
    </row>
    <row r="34" spans="1:7" ht="15.75" customHeight="1" x14ac:dyDescent="0.25">
      <c r="A34" s="5" t="s">
        <v>195</v>
      </c>
      <c r="B34" s="45">
        <v>0.66312790021524293</v>
      </c>
      <c r="C34" s="98">
        <v>0.95</v>
      </c>
      <c r="D34" s="56">
        <v>99.99</v>
      </c>
      <c r="E34" s="56" t="s">
        <v>201</v>
      </c>
      <c r="F34" s="98">
        <v>1</v>
      </c>
      <c r="G34" s="98">
        <v>1</v>
      </c>
    </row>
    <row r="35" spans="1:7" ht="15.75" customHeight="1" x14ac:dyDescent="0.25">
      <c r="A35" s="5" t="s">
        <v>196</v>
      </c>
      <c r="B35" s="98">
        <v>0</v>
      </c>
      <c r="C35" s="98">
        <v>0.95</v>
      </c>
      <c r="D35" s="56">
        <v>99.99</v>
      </c>
      <c r="E35" s="56" t="s">
        <v>201</v>
      </c>
      <c r="F35" s="98">
        <v>1</v>
      </c>
      <c r="G35" s="98">
        <v>1</v>
      </c>
    </row>
    <row r="36" spans="1:7" ht="15.75" customHeight="1" x14ac:dyDescent="0.25">
      <c r="A36" s="5" t="s">
        <v>197</v>
      </c>
      <c r="B36" s="45">
        <v>0</v>
      </c>
      <c r="C36" s="98">
        <v>0.95</v>
      </c>
      <c r="D36" s="56">
        <v>99.99</v>
      </c>
      <c r="E36" s="56" t="s">
        <v>201</v>
      </c>
      <c r="F36" s="98">
        <v>1</v>
      </c>
      <c r="G36" s="98">
        <v>1</v>
      </c>
    </row>
    <row r="37" spans="1:7" ht="15.75" customHeight="1" x14ac:dyDescent="0.25">
      <c r="A37" s="5" t="s">
        <v>198</v>
      </c>
      <c r="B37" s="45">
        <v>0.3</v>
      </c>
      <c r="C37" s="98">
        <v>0.95</v>
      </c>
      <c r="D37" s="56">
        <v>99.99</v>
      </c>
      <c r="E37" s="56" t="s">
        <v>201</v>
      </c>
      <c r="F37" s="98">
        <v>1</v>
      </c>
      <c r="G37" s="98">
        <v>1</v>
      </c>
    </row>
    <row r="38" spans="1:7" ht="15.75" customHeight="1" x14ac:dyDescent="0.25">
      <c r="A38" s="5" t="s">
        <v>199</v>
      </c>
      <c r="B38" s="45">
        <v>2E-3</v>
      </c>
      <c r="C38" s="98">
        <v>0.95</v>
      </c>
      <c r="D38" s="56">
        <v>6.1461020173279026</v>
      </c>
      <c r="E38" s="56" t="s">
        <v>201</v>
      </c>
      <c r="F38" s="98">
        <v>1</v>
      </c>
      <c r="G38" s="98">
        <v>1</v>
      </c>
    </row>
    <row r="39" spans="1:7" ht="15.75" customHeight="1" x14ac:dyDescent="0.25">
      <c r="A39" s="5" t="s">
        <v>200</v>
      </c>
      <c r="B39" s="45">
        <v>0.40699999999999997</v>
      </c>
      <c r="C39" s="98">
        <v>0.95</v>
      </c>
      <c r="D39" s="56">
        <v>99.99</v>
      </c>
      <c r="E39" s="56" t="s">
        <v>201</v>
      </c>
      <c r="F39" s="98">
        <v>1</v>
      </c>
      <c r="G39" s="98">
        <v>1</v>
      </c>
    </row>
  </sheetData>
  <sheetProtection algorithmName="SHA-512" hashValue="5+Nk9T8C30KB0PAU2OxAfVPRch/Zp2BlPudt1jVLjSHp8Z92WwCHOVkxSq8hRF8oICTAkglTUSNWY4aTsKylGg==" saltValue="PjQtilVy089s1GYMKsUCoA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B8" sqref="B7:B8"/>
    </sheetView>
  </sheetViews>
  <sheetFormatPr defaultColWidth="11.453125" defaultRowHeight="12.5" x14ac:dyDescent="0.25"/>
  <cols>
    <col min="1" max="1" width="53" style="5" bestFit="1" customWidth="1"/>
    <col min="2" max="2" width="47.90625" style="8" customWidth="1"/>
    <col min="3" max="3" width="42.453125" style="8" customWidth="1"/>
    <col min="4" max="4" width="11.453125" style="8" customWidth="1"/>
    <col min="5" max="16384" width="11.453125" style="8"/>
  </cols>
  <sheetData>
    <row r="1" spans="1:3" ht="13" customHeight="1" x14ac:dyDescent="0.3">
      <c r="A1" s="4" t="s">
        <v>160</v>
      </c>
      <c r="B1" s="4" t="s">
        <v>206</v>
      </c>
      <c r="C1" s="4" t="s">
        <v>207</v>
      </c>
    </row>
    <row r="2" spans="1:3" ht="13.25" customHeight="1" x14ac:dyDescent="0.25">
      <c r="A2" s="57" t="s">
        <v>180</v>
      </c>
      <c r="B2" s="47" t="s">
        <v>190</v>
      </c>
      <c r="C2" s="47"/>
    </row>
    <row r="3" spans="1:3" ht="13.25" customHeight="1" x14ac:dyDescent="0.25">
      <c r="A3" s="57" t="s">
        <v>181</v>
      </c>
      <c r="B3" s="47" t="s">
        <v>190</v>
      </c>
      <c r="C3" s="47"/>
    </row>
    <row r="4" spans="1:3" ht="13.25" customHeight="1" x14ac:dyDescent="0.25">
      <c r="A4" s="57" t="s">
        <v>192</v>
      </c>
      <c r="B4" s="47" t="s">
        <v>185</v>
      </c>
      <c r="C4" s="47"/>
    </row>
    <row r="5" spans="1:3" ht="13.25" customHeight="1" x14ac:dyDescent="0.25">
      <c r="A5" s="57" t="s">
        <v>189</v>
      </c>
      <c r="B5" s="47" t="s">
        <v>185</v>
      </c>
      <c r="C5" s="47"/>
    </row>
    <row r="6" spans="1:3" ht="13.25" customHeight="1" x14ac:dyDescent="0.25">
      <c r="A6" s="57"/>
      <c r="B6" s="58"/>
      <c r="C6" s="58"/>
    </row>
    <row r="7" spans="1:3" ht="13.25" customHeight="1" x14ac:dyDescent="0.25">
      <c r="A7" s="57"/>
      <c r="B7" s="58"/>
      <c r="C7" s="58"/>
    </row>
    <row r="8" spans="1:3" ht="13.25" customHeight="1" x14ac:dyDescent="0.25">
      <c r="A8" s="57"/>
      <c r="B8" s="58"/>
      <c r="C8" s="58"/>
    </row>
    <row r="9" spans="1:3" ht="13.25" customHeight="1" x14ac:dyDescent="0.25">
      <c r="A9" s="57"/>
      <c r="B9" s="58"/>
      <c r="C9" s="58"/>
    </row>
    <row r="10" spans="1:3" ht="13.25" customHeight="1" x14ac:dyDescent="0.25">
      <c r="A10" s="57"/>
      <c r="B10" s="58"/>
      <c r="C10" s="58"/>
    </row>
    <row r="11" spans="1:3" ht="13.25" customHeight="1" x14ac:dyDescent="0.25">
      <c r="A11" s="59"/>
      <c r="B11" s="58"/>
      <c r="C11" s="58"/>
    </row>
    <row r="12" spans="1:3" ht="13.25" customHeight="1" x14ac:dyDescent="0.25">
      <c r="A12" s="59"/>
      <c r="B12" s="58"/>
      <c r="C12" s="58"/>
    </row>
    <row r="13" spans="1:3" ht="13.25" customHeight="1" x14ac:dyDescent="0.25">
      <c r="A13" s="59"/>
      <c r="B13" s="58"/>
      <c r="C13" s="58"/>
    </row>
    <row r="14" spans="1:3" ht="13.25" customHeight="1" x14ac:dyDescent="0.25">
      <c r="A14" s="59"/>
      <c r="B14" s="58"/>
      <c r="C14" s="58"/>
    </row>
    <row r="15" spans="1:3" ht="13.25" customHeight="1" x14ac:dyDescent="0.25">
      <c r="A15" s="59"/>
      <c r="B15" s="58"/>
      <c r="C15" s="58"/>
    </row>
    <row r="16" spans="1:3" ht="13.25" customHeight="1" x14ac:dyDescent="0.25">
      <c r="A16" s="59"/>
      <c r="B16" s="58"/>
      <c r="C16" s="58"/>
    </row>
    <row r="17" spans="1:3" ht="13.25" customHeight="1" x14ac:dyDescent="0.25">
      <c r="A17" s="59"/>
      <c r="B17" s="58"/>
      <c r="C17" s="58"/>
    </row>
    <row r="18" spans="1:3" ht="13.25" customHeight="1" x14ac:dyDescent="0.25">
      <c r="A18" s="59"/>
      <c r="B18" s="58"/>
      <c r="C18" s="58"/>
    </row>
    <row r="19" spans="1:3" ht="13.25" customHeight="1" x14ac:dyDescent="0.25">
      <c r="A19" s="57"/>
      <c r="B19" s="58"/>
      <c r="C19" s="58"/>
    </row>
    <row r="20" spans="1:3" ht="13.25" customHeight="1" x14ac:dyDescent="0.25">
      <c r="A20" s="57"/>
      <c r="B20" s="58"/>
      <c r="C20" s="58"/>
    </row>
  </sheetData>
  <sheetProtection algorithmName="SHA-512" hashValue="TkH92N9x3bzRNnT7qA3t60zkCTEVSKciamfP24+mY+CuQlOB/34kl+x6ForDrxADcxgVzeh4W6oHjMokv+StFg==" saltValue="MktWqLKdr7QEpMhqvoFcvQ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53125" defaultRowHeight="12.5" x14ac:dyDescent="0.25"/>
  <cols>
    <col min="1" max="1" width="30.08984375" style="8" customWidth="1"/>
    <col min="2" max="2" width="11.453125" style="8" customWidth="1"/>
    <col min="3" max="16384" width="11.453125" style="8"/>
  </cols>
  <sheetData>
    <row r="1" spans="1:1" ht="13" customHeight="1" x14ac:dyDescent="0.3">
      <c r="A1" s="4" t="s">
        <v>160</v>
      </c>
    </row>
    <row r="2" spans="1:1" ht="13.25" customHeight="1" x14ac:dyDescent="0.25">
      <c r="A2" s="33" t="s">
        <v>172</v>
      </c>
    </row>
    <row r="3" spans="1:1" ht="13.25" customHeight="1" x14ac:dyDescent="0.25">
      <c r="A3" s="33" t="s">
        <v>182</v>
      </c>
    </row>
    <row r="4" spans="1:1" ht="13.25" customHeight="1" x14ac:dyDescent="0.25">
      <c r="A4" s="33" t="s">
        <v>186</v>
      </c>
    </row>
    <row r="5" spans="1:1" ht="13.25" customHeight="1" x14ac:dyDescent="0.25">
      <c r="A5" s="33" t="s">
        <v>194</v>
      </c>
    </row>
    <row r="6" spans="1:1" ht="13.25" customHeight="1" x14ac:dyDescent="0.25">
      <c r="A6" s="33" t="s">
        <v>195</v>
      </c>
    </row>
    <row r="7" spans="1:1" ht="13.25" customHeight="1" x14ac:dyDescent="0.25">
      <c r="A7" s="33" t="s">
        <v>196</v>
      </c>
    </row>
    <row r="8" spans="1:1" ht="13.25" customHeight="1" x14ac:dyDescent="0.25">
      <c r="A8" s="33" t="s">
        <v>197</v>
      </c>
    </row>
    <row r="9" spans="1:1" ht="13.25" customHeight="1" x14ac:dyDescent="0.25">
      <c r="A9" s="33" t="s">
        <v>198</v>
      </c>
    </row>
    <row r="10" spans="1:1" ht="13.25" customHeight="1" x14ac:dyDescent="0.25">
      <c r="A10" s="33"/>
    </row>
    <row r="11" spans="1:1" ht="13.25" customHeight="1" x14ac:dyDescent="0.25">
      <c r="A11" s="33"/>
    </row>
    <row r="12" spans="1:1" ht="13.25" customHeight="1" x14ac:dyDescent="0.25">
      <c r="A12" s="33"/>
    </row>
    <row r="13" spans="1:1" ht="13.25" customHeight="1" x14ac:dyDescent="0.25">
      <c r="A13" s="33"/>
    </row>
    <row r="14" spans="1:1" ht="13.25" customHeight="1" x14ac:dyDescent="0.25">
      <c r="A14" s="33"/>
    </row>
    <row r="15" spans="1:1" ht="13.25" customHeight="1" x14ac:dyDescent="0.25">
      <c r="A15" s="33"/>
    </row>
    <row r="16" spans="1:1" ht="13.25" customHeight="1" x14ac:dyDescent="0.25">
      <c r="A16" s="33"/>
    </row>
    <row r="17" spans="1:1" ht="13.25" customHeight="1" x14ac:dyDescent="0.25">
      <c r="A17" s="33"/>
    </row>
    <row r="18" spans="1:1" ht="13.25" customHeight="1" x14ac:dyDescent="0.25">
      <c r="A18" s="33"/>
    </row>
    <row r="19" spans="1:1" ht="13.25" customHeight="1" x14ac:dyDescent="0.25">
      <c r="A19" s="33"/>
    </row>
  </sheetData>
  <sheetProtection algorithmName="SHA-512" hashValue="WvvCVq17sigubA6ZlGF9l/vIOExKDwR4TSbI60Ue6Eqi045i4rf8/AhKrNOWfVrcLrFK6KGhl2KYTCeqOzJBhQ==" saltValue="f7o8WcVPqjny9ZzKUOFNfA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53125" defaultRowHeight="15.75" customHeight="1" x14ac:dyDescent="0.25"/>
  <sheetData>
    <row r="1" spans="1:6" ht="15.75" customHeight="1" x14ac:dyDescent="0.25">
      <c r="A1" s="3" t="s">
        <v>7</v>
      </c>
      <c r="B1" t="s">
        <v>109</v>
      </c>
      <c r="C1" t="s">
        <v>96</v>
      </c>
      <c r="D1" t="s">
        <v>97</v>
      </c>
      <c r="E1" t="s">
        <v>98</v>
      </c>
      <c r="F1" t="s">
        <v>99</v>
      </c>
    </row>
    <row r="2" spans="1:6" ht="15.75" customHeight="1" x14ac:dyDescent="0.25">
      <c r="A2" s="3" t="s">
        <v>87</v>
      </c>
      <c r="B2" s="21">
        <f>'Données pop de l''année de ref'!C51</f>
        <v>3.3</v>
      </c>
      <c r="C2" s="21">
        <f>'Données pop de l''année de ref'!C52</f>
        <v>3.3</v>
      </c>
      <c r="D2" s="21">
        <f>'Données pop de l''année de ref'!C53</f>
        <v>3.3</v>
      </c>
      <c r="E2" s="21">
        <f>'Données pop de l''année de ref'!C54</f>
        <v>3.3</v>
      </c>
      <c r="F2" s="21">
        <f>'Données pop de l''année de ref'!C55</f>
        <v>3.3</v>
      </c>
    </row>
    <row r="3" spans="1:6" ht="15.75" customHeight="1" x14ac:dyDescent="0.25">
      <c r="A3" s="3" t="s">
        <v>209</v>
      </c>
      <c r="B3" s="21">
        <f>frac_mam_1month * 2.6</f>
        <v>0.19372297874347755</v>
      </c>
      <c r="C3" s="21">
        <f>frac_mam_1_5months * 2.6</f>
        <v>0.19372297874347755</v>
      </c>
      <c r="D3" s="21">
        <f>frac_mam_6_11months * 2.6</f>
        <v>0.27618170427677441</v>
      </c>
      <c r="E3" s="21">
        <f>frac_mam_12_23months * 2.6</f>
        <v>0.22045132160407122</v>
      </c>
      <c r="F3" s="21">
        <f>frac_mam_24_59months * 2.6</f>
        <v>0.12275080651566304</v>
      </c>
    </row>
    <row r="4" spans="1:6" ht="15.75" customHeight="1" x14ac:dyDescent="0.25">
      <c r="A4" s="3" t="s">
        <v>208</v>
      </c>
      <c r="B4" s="21">
        <f>frac_sam_1month * 2.6</f>
        <v>0.12945086201981754</v>
      </c>
      <c r="C4" s="21">
        <f>frac_sam_1_5months * 2.6</f>
        <v>0.12945086201981754</v>
      </c>
      <c r="D4" s="21">
        <f>frac_sam_6_11months * 2.6</f>
        <v>0.14373957704470494</v>
      </c>
      <c r="E4" s="21">
        <f>frac_sam_12_23months * 2.6</f>
        <v>0.11181692882896849</v>
      </c>
      <c r="F4" s="21">
        <f>frac_sam_24_59months * 2.6</f>
        <v>5.4633652019969628E-2</v>
      </c>
    </row>
  </sheetData>
  <sheetProtection algorithmName="SHA-512" hashValue="ub42q/y4NM3qdtE3XzHbANowMRFaL1NdOs1oPP6tLopQgzye2wS5nkuiglyIxdWgzY+tODbzNBR8eZIA7WzhgA==" saltValue="Kzsw/BZIT3tw8LQ028Pw4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C9" sqref="C9"/>
    </sheetView>
  </sheetViews>
  <sheetFormatPr defaultColWidth="14.453125" defaultRowHeight="15.75" customHeight="1" x14ac:dyDescent="0.25"/>
  <cols>
    <col min="1" max="1" width="20" bestFit="1" customWidth="1"/>
    <col min="2" max="2" width="45.90625" customWidth="1"/>
    <col min="3" max="3" width="8.453125" bestFit="1" customWidth="1"/>
    <col min="4" max="4" width="10" bestFit="1" customWidth="1"/>
    <col min="5" max="5" width="10.90625" bestFit="1" customWidth="1"/>
    <col min="6" max="7" width="11.90625" bestFit="1" customWidth="1"/>
    <col min="8" max="11" width="13.90625" bestFit="1" customWidth="1"/>
    <col min="12" max="15" width="15.08984375" bestFit="1" customWidth="1"/>
  </cols>
  <sheetData>
    <row r="1" spans="1:15" ht="15.75" customHeight="1" x14ac:dyDescent="0.3">
      <c r="A1" s="4" t="s">
        <v>211</v>
      </c>
      <c r="B1" s="1" t="s">
        <v>160</v>
      </c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122</v>
      </c>
      <c r="I1" s="4" t="s">
        <v>123</v>
      </c>
      <c r="J1" s="4" t="s">
        <v>124</v>
      </c>
      <c r="K1" s="4" t="s">
        <v>125</v>
      </c>
      <c r="L1" s="4" t="s">
        <v>69</v>
      </c>
      <c r="M1" s="4" t="s">
        <v>70</v>
      </c>
      <c r="N1" s="4" t="s">
        <v>71</v>
      </c>
      <c r="O1" s="4" t="s">
        <v>72</v>
      </c>
    </row>
    <row r="2" spans="1:15" ht="15.75" customHeight="1" x14ac:dyDescent="0.3">
      <c r="A2" s="4" t="s">
        <v>86</v>
      </c>
      <c r="B2" s="5" t="s">
        <v>170</v>
      </c>
      <c r="C2" s="60">
        <v>0</v>
      </c>
      <c r="D2" s="60">
        <f>food_insecure</f>
        <v>1.4999999999999999E-2</v>
      </c>
      <c r="E2" s="60">
        <f>food_insecure</f>
        <v>1.4999999999999999E-2</v>
      </c>
      <c r="F2" s="60">
        <f>food_insecure</f>
        <v>1.4999999999999999E-2</v>
      </c>
      <c r="G2" s="60">
        <f>food_insecure</f>
        <v>1.4999999999999999E-2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5">
      <c r="B3" s="5" t="s">
        <v>171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5">
      <c r="B4" s="5" t="s">
        <v>184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5">
      <c r="B5" s="5" t="s">
        <v>185</v>
      </c>
      <c r="C5" s="60">
        <v>0</v>
      </c>
      <c r="D5" s="60">
        <v>0</v>
      </c>
      <c r="E5" s="60">
        <f>food_insecure</f>
        <v>1.4999999999999999E-2</v>
      </c>
      <c r="F5" s="60">
        <f>food_insecure</f>
        <v>1.4999999999999999E-2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5">
      <c r="B6" s="5" t="s">
        <v>189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5">
      <c r="B7" s="9" t="s">
        <v>191</v>
      </c>
      <c r="C7" s="60">
        <f>diarrhoea_1mo*frac_diarrhea_severe</f>
        <v>7.2000000000000008E-2</v>
      </c>
      <c r="D7" s="60">
        <f>diarrhoea_1_5mo*frac_diarrhea_severe</f>
        <v>7.2000000000000008E-2</v>
      </c>
      <c r="E7" s="60">
        <f>diarrhoea_6_11mo*frac_diarrhea_severe</f>
        <v>7.2000000000000008E-2</v>
      </c>
      <c r="F7" s="60">
        <f>diarrhoea_12_23mo*frac_diarrhea_severe</f>
        <v>7.2000000000000008E-2</v>
      </c>
      <c r="G7" s="60">
        <f>diarrhoea_24_59mo*frac_diarrhea_severe</f>
        <v>7.2000000000000008E-2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5">
      <c r="B8" s="5" t="s">
        <v>192</v>
      </c>
      <c r="C8" s="60">
        <v>0</v>
      </c>
      <c r="D8" s="60">
        <v>0</v>
      </c>
      <c r="E8" s="60">
        <f>food_insecure</f>
        <v>1.4999999999999999E-2</v>
      </c>
      <c r="F8" s="60">
        <f>food_insecure</f>
        <v>1.4999999999999999E-2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5">
      <c r="B9" s="5" t="s">
        <v>205</v>
      </c>
      <c r="C9" s="60">
        <v>0</v>
      </c>
      <c r="D9" s="60">
        <v>0</v>
      </c>
      <c r="E9" s="60">
        <f>food_insecure</f>
        <v>1.4999999999999999E-2</v>
      </c>
      <c r="F9" s="60">
        <f>food_insecure</f>
        <v>1.4999999999999999E-2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5">
      <c r="B10" s="5" t="s">
        <v>161</v>
      </c>
      <c r="C10" s="60">
        <v>0</v>
      </c>
      <c r="D10" s="60">
        <f>IF(ISBLANK(comm_deliv), frac_children_health_facility,1)</f>
        <v>0.54299999999999993</v>
      </c>
      <c r="E10" s="60">
        <f>IF(ISBLANK(comm_deliv), frac_children_health_facility,1)</f>
        <v>0.54299999999999993</v>
      </c>
      <c r="F10" s="60">
        <f>IF(ISBLANK(comm_deliv), frac_children_health_facility,1)</f>
        <v>0.54299999999999993</v>
      </c>
      <c r="G10" s="60">
        <f>IF(ISBLANK(comm_deliv), frac_children_health_facility,1)</f>
        <v>0.54299999999999993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5">
      <c r="B11" s="5" t="s">
        <v>193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5">
      <c r="B12" s="9" t="s">
        <v>199</v>
      </c>
      <c r="C12" s="60">
        <f>diarrhoea_1mo*frac_diarrhea_severe</f>
        <v>7.2000000000000008E-2</v>
      </c>
      <c r="D12" s="60">
        <f>diarrhoea_1_5mo*frac_diarrhea_severe</f>
        <v>7.2000000000000008E-2</v>
      </c>
      <c r="E12" s="60">
        <f>diarrhoea_6_11mo*frac_diarrhea_severe</f>
        <v>7.2000000000000008E-2</v>
      </c>
      <c r="F12" s="60">
        <f>diarrhoea_12_23mo*frac_diarrhea_severe</f>
        <v>7.2000000000000008E-2</v>
      </c>
      <c r="G12" s="60">
        <f>diarrhoea_24_59mo*frac_diarrhea_severe</f>
        <v>7.2000000000000008E-2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5">
      <c r="B13" s="5" t="s">
        <v>200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5">
      <c r="B14" s="9"/>
    </row>
    <row r="15" spans="1:15" ht="15.75" customHeight="1" x14ac:dyDescent="0.3">
      <c r="A15" s="4" t="s">
        <v>100</v>
      </c>
      <c r="B15" s="9" t="s">
        <v>168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1.4999999999999999E-2</v>
      </c>
      <c r="I15" s="60">
        <f>food_insecure</f>
        <v>1.4999999999999999E-2</v>
      </c>
      <c r="J15" s="60">
        <f>food_insecure</f>
        <v>1.4999999999999999E-2</v>
      </c>
      <c r="K15" s="60">
        <f>food_insecure</f>
        <v>1.4999999999999999E-2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3">
      <c r="A16" s="4"/>
      <c r="B16" s="5" t="s">
        <v>169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3">
      <c r="A17" s="4"/>
      <c r="B17" s="5" t="s">
        <v>180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3">
      <c r="A18" s="4"/>
      <c r="B18" s="5" t="s">
        <v>181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0.66900000000000004</v>
      </c>
      <c r="I18" s="60">
        <f>frac_PW_health_facility</f>
        <v>0.66900000000000004</v>
      </c>
      <c r="J18" s="60">
        <f>frac_PW_health_facility</f>
        <v>0.66900000000000004</v>
      </c>
      <c r="K18" s="60">
        <f>frac_PW_health_facility</f>
        <v>0.66900000000000004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5">
      <c r="B19" s="9" t="s">
        <v>182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0.97</v>
      </c>
      <c r="I19" s="60">
        <f>frac_malaria_risk</f>
        <v>0.97</v>
      </c>
      <c r="J19" s="60">
        <f>frac_malaria_risk</f>
        <v>0.97</v>
      </c>
      <c r="K19" s="60">
        <f>frac_malaria_risk</f>
        <v>0.97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5">
      <c r="B20" s="5" t="s">
        <v>187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5">
      <c r="B21" s="5" t="s">
        <v>188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5">
      <c r="B22" s="9" t="s">
        <v>190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5">
      <c r="B23" s="9"/>
    </row>
    <row r="24" spans="1:15" ht="15.75" customHeight="1" x14ac:dyDescent="0.3">
      <c r="A24" s="4" t="s">
        <v>75</v>
      </c>
      <c r="B24" s="11" t="s">
        <v>172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0.79500000000000004</v>
      </c>
      <c r="M24" s="60">
        <f>famplan_unmet_need</f>
        <v>0.79500000000000004</v>
      </c>
      <c r="N24" s="60">
        <f>famplan_unmet_need</f>
        <v>0.79500000000000004</v>
      </c>
      <c r="O24" s="60">
        <f>famplan_unmet_need</f>
        <v>0.79500000000000004</v>
      </c>
    </row>
    <row r="25" spans="1:15" ht="15.75" customHeight="1" x14ac:dyDescent="0.25">
      <c r="B25" s="11" t="s">
        <v>176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0.33236672209398005</v>
      </c>
      <c r="M25" s="60">
        <f>(1-food_insecure)*(0.49)+food_insecure*(0.7)</f>
        <v>0.49314999999999998</v>
      </c>
      <c r="N25" s="60">
        <f>(1-food_insecure)*(0.49)+food_insecure*(0.7)</f>
        <v>0.49314999999999998</v>
      </c>
      <c r="O25" s="60">
        <f>(1-food_insecure)*(0.49)+food_insecure*(0.7)</f>
        <v>0.49314999999999998</v>
      </c>
    </row>
    <row r="26" spans="1:15" ht="15.75" customHeight="1" x14ac:dyDescent="0.25">
      <c r="B26" s="11" t="s">
        <v>177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0.14244288089742002</v>
      </c>
      <c r="M26" s="60">
        <f>(1-food_insecure)*(0.21)+food_insecure*(0.3)</f>
        <v>0.21134999999999998</v>
      </c>
      <c r="N26" s="60">
        <f>(1-food_insecure)*(0.21)+food_insecure*(0.3)</f>
        <v>0.21134999999999998</v>
      </c>
      <c r="O26" s="60">
        <f>(1-food_insecure)*(0.21)+food_insecure*(0.3)</f>
        <v>0.21134999999999998</v>
      </c>
    </row>
    <row r="27" spans="1:15" ht="15.75" customHeight="1" x14ac:dyDescent="0.25">
      <c r="B27" s="11" t="s">
        <v>178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0.19915718620860001</v>
      </c>
      <c r="M27" s="60">
        <f>(1-food_insecure)*(0.3)</f>
        <v>0.29549999999999998</v>
      </c>
      <c r="N27" s="60">
        <f>(1-food_insecure)*(0.3)</f>
        <v>0.29549999999999998</v>
      </c>
      <c r="O27" s="60">
        <f>(1-food_insecure)*(0.3)</f>
        <v>0.29549999999999998</v>
      </c>
    </row>
    <row r="28" spans="1:15" ht="15.75" customHeight="1" x14ac:dyDescent="0.25">
      <c r="B28" s="11" t="s">
        <v>179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0.32603321079999997</v>
      </c>
      <c r="M28" s="60">
        <v>0</v>
      </c>
      <c r="N28" s="60">
        <v>0</v>
      </c>
      <c r="O28" s="60">
        <v>0</v>
      </c>
    </row>
    <row r="29" spans="1:15" ht="15.75" customHeight="1" x14ac:dyDescent="0.25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3">
      <c r="A30" s="4" t="s">
        <v>210</v>
      </c>
      <c r="B30" s="5" t="s">
        <v>173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5">
      <c r="B31" s="5" t="s">
        <v>174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5">
      <c r="B32" s="5" t="s">
        <v>175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5">
      <c r="B33" s="5" t="s">
        <v>183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5">
      <c r="B34" s="5" t="s">
        <v>186</v>
      </c>
      <c r="C34" s="60">
        <f t="shared" ref="C34:O34" si="3">frac_malaria_risk</f>
        <v>0.97</v>
      </c>
      <c r="D34" s="60">
        <f t="shared" si="3"/>
        <v>0.97</v>
      </c>
      <c r="E34" s="60">
        <f t="shared" si="3"/>
        <v>0.97</v>
      </c>
      <c r="F34" s="60">
        <f t="shared" si="3"/>
        <v>0.97</v>
      </c>
      <c r="G34" s="60">
        <f t="shared" si="3"/>
        <v>0.97</v>
      </c>
      <c r="H34" s="60">
        <f t="shared" si="3"/>
        <v>0.97</v>
      </c>
      <c r="I34" s="60">
        <f t="shared" si="3"/>
        <v>0.97</v>
      </c>
      <c r="J34" s="60">
        <f t="shared" si="3"/>
        <v>0.97</v>
      </c>
      <c r="K34" s="60">
        <f t="shared" si="3"/>
        <v>0.97</v>
      </c>
      <c r="L34" s="60">
        <f t="shared" si="3"/>
        <v>0.97</v>
      </c>
      <c r="M34" s="60">
        <f t="shared" si="3"/>
        <v>0.97</v>
      </c>
      <c r="N34" s="60">
        <f t="shared" si="3"/>
        <v>0.97</v>
      </c>
      <c r="O34" s="60">
        <f t="shared" si="3"/>
        <v>0.97</v>
      </c>
    </row>
    <row r="35" spans="2:15" ht="15.75" customHeight="1" x14ac:dyDescent="0.25">
      <c r="B35" s="9" t="s">
        <v>194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5">
      <c r="B36" s="9" t="s">
        <v>195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5">
      <c r="B37" s="9" t="s">
        <v>196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5">
      <c r="B38" s="9" t="s">
        <v>197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5">
      <c r="B39" s="9" t="s">
        <v>198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5">
      <c r="B40" s="9"/>
    </row>
  </sheetData>
  <sheetProtection algorithmName="SHA-512" hashValue="vOZphXbwyPgGdtE6mUSf9SF7F2zbQtvGPLLRfJ01cMe2B7V+trZy5fXiC/AqaN+jGzCRCVYbYOF51/1I2WEiCA==" saltValue="2wOpkq2dKPjSIxhTkUdeeg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53125" defaultRowHeight="12.5" x14ac:dyDescent="0.25"/>
  <sheetData>
    <row r="1" spans="1:1" x14ac:dyDescent="0.25">
      <c r="A1" s="8" t="s">
        <v>201</v>
      </c>
    </row>
    <row r="2" spans="1:1" x14ac:dyDescent="0.25">
      <c r="A2" s="8" t="s">
        <v>212</v>
      </c>
    </row>
    <row r="3" spans="1:1" x14ac:dyDescent="0.25">
      <c r="A3" s="8" t="s">
        <v>213</v>
      </c>
    </row>
    <row r="4" spans="1:1" x14ac:dyDescent="0.25">
      <c r="A4" s="8" t="s">
        <v>214</v>
      </c>
    </row>
  </sheetData>
  <sheetProtection algorithmName="SHA-512" hashValue="uyFD+Q7xGsx0eduRT2Bv7o5so+Zc8/fWiQTCUOFxikwYRmDF/ShnccAKywlJLolWQBtRkoBNiyhmcwqm3a1vsQ==" saltValue="AQT0c1L80v3/uZn3R6CWsA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53125" defaultRowHeight="12.5" x14ac:dyDescent="0.25"/>
  <cols>
    <col min="1" max="1" width="33.6328125" style="8" customWidth="1"/>
    <col min="2" max="2" width="12.453125" style="8" customWidth="1"/>
    <col min="3" max="4" width="11.453125" style="8" customWidth="1"/>
    <col min="5" max="5" width="17.453125" style="8" customWidth="1"/>
    <col min="6" max="6" width="11.453125" style="8" customWidth="1"/>
    <col min="7" max="16384" width="11.453125" style="8"/>
  </cols>
  <sheetData>
    <row r="1" spans="1:5" ht="13" customHeight="1" x14ac:dyDescent="0.3">
      <c r="A1" s="4" t="s">
        <v>216</v>
      </c>
      <c r="B1" s="4" t="s">
        <v>215</v>
      </c>
      <c r="C1" s="4" t="s">
        <v>8</v>
      </c>
      <c r="D1" s="4" t="s">
        <v>144</v>
      </c>
      <c r="E1" s="4" t="s">
        <v>225</v>
      </c>
    </row>
    <row r="2" spans="1:5" ht="14" customHeight="1" x14ac:dyDescent="0.3">
      <c r="A2" s="28" t="s">
        <v>217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4" customHeight="1" x14ac:dyDescent="0.3">
      <c r="A3" s="28" t="s">
        <v>218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4" customHeight="1" x14ac:dyDescent="0.3">
      <c r="A4" s="28" t="s">
        <v>219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4" customHeight="1" x14ac:dyDescent="0.3">
      <c r="A5" s="28" t="s">
        <v>220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4" customHeight="1" x14ac:dyDescent="0.3">
      <c r="A6" s="28" t="s">
        <v>9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4" customHeight="1" x14ac:dyDescent="0.3">
      <c r="A7" s="28" t="s">
        <v>221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4" customHeight="1" x14ac:dyDescent="0.3">
      <c r="A8" s="28" t="s">
        <v>222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4" customHeight="1" x14ac:dyDescent="0.3">
      <c r="A9" s="28" t="s">
        <v>223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4" customHeight="1" x14ac:dyDescent="0.3">
      <c r="A10" s="28" t="s">
        <v>224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sheetProtection algorithmName="SHA-512" hashValue="+iroHB2h6Z5nID+mnJkq0zsi4ie14dNYplvrGb5DguDJOjTWeinyUTJ14+h2sk8iFsxzxnKQE/mjxUz8nwjLfw==" saltValue="ovWovHnUiz1PC25X6gaRY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16" workbookViewId="0">
      <selection activeCell="C12" sqref="C12"/>
    </sheetView>
  </sheetViews>
  <sheetFormatPr defaultColWidth="16.08984375" defaultRowHeight="15.75" customHeight="1" x14ac:dyDescent="0.35"/>
  <cols>
    <col min="1" max="1" width="22.1796875" style="37" bestFit="1" customWidth="1"/>
    <col min="2" max="2" width="58.90625" style="37" bestFit="1" customWidth="1"/>
    <col min="3" max="3" width="9.453125" style="37" bestFit="1" customWidth="1"/>
    <col min="4" max="4" width="11.08984375" style="37" bestFit="1" customWidth="1"/>
    <col min="5" max="5" width="12" style="37" bestFit="1" customWidth="1"/>
    <col min="6" max="7" width="13.08984375" style="37" bestFit="1" customWidth="1"/>
    <col min="8" max="11" width="15.36328125" style="37" bestFit="1" customWidth="1"/>
    <col min="12" max="15" width="16.90625" style="37" bestFit="1" customWidth="1"/>
    <col min="16" max="16" width="16.08984375" style="37" customWidth="1"/>
    <col min="17" max="16384" width="16.08984375" style="37"/>
  </cols>
  <sheetData>
    <row r="1" spans="1:15" ht="15.75" customHeight="1" x14ac:dyDescent="0.35">
      <c r="A1" s="4" t="s">
        <v>211</v>
      </c>
      <c r="B1" s="1" t="s">
        <v>160</v>
      </c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122</v>
      </c>
      <c r="I1" s="4" t="s">
        <v>123</v>
      </c>
      <c r="J1" s="4" t="s">
        <v>124</v>
      </c>
      <c r="K1" s="4" t="s">
        <v>125</v>
      </c>
      <c r="L1" s="4" t="s">
        <v>69</v>
      </c>
      <c r="M1" s="4" t="s">
        <v>70</v>
      </c>
      <c r="N1" s="4" t="s">
        <v>71</v>
      </c>
      <c r="O1" s="4" t="s">
        <v>72</v>
      </c>
    </row>
    <row r="2" spans="1:15" ht="15.75" customHeight="1" x14ac:dyDescent="0.35">
      <c r="A2" s="4" t="s">
        <v>86</v>
      </c>
      <c r="B2" s="5" t="s">
        <v>170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35">
      <c r="B3" s="5" t="s">
        <v>171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35">
      <c r="B4" s="5" t="s">
        <v>157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35">
      <c r="B5" s="5" t="s">
        <v>158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35">
      <c r="B6" s="5" t="s">
        <v>159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35">
      <c r="B7" s="5" t="s">
        <v>184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35">
      <c r="B8" s="5" t="s">
        <v>185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35">
      <c r="B9" s="5" t="s">
        <v>189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35">
      <c r="B10" s="5" t="s">
        <v>191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35">
      <c r="B11" s="5" t="s">
        <v>192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35">
      <c r="B12" s="5" t="s">
        <v>205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35">
      <c r="B13" s="5" t="s">
        <v>161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35">
      <c r="B14" s="5" t="s">
        <v>193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35">
      <c r="B15" s="5" t="s">
        <v>199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35">
      <c r="B16" s="5" t="s">
        <v>200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35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35">
      <c r="A18" s="4" t="s">
        <v>100</v>
      </c>
      <c r="B18" s="5" t="s">
        <v>168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35">
      <c r="A19" s="4"/>
      <c r="B19" s="5" t="s">
        <v>169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35">
      <c r="B20" s="5" t="s">
        <v>180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35">
      <c r="B21" s="5" t="s">
        <v>181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35">
      <c r="B22" s="62" t="s">
        <v>182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35">
      <c r="B23" s="5" t="s">
        <v>187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35">
      <c r="B24" s="5" t="s">
        <v>188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35">
      <c r="B25" s="5" t="s">
        <v>190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35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" customHeight="1" x14ac:dyDescent="0.35">
      <c r="A27" s="4" t="s">
        <v>75</v>
      </c>
      <c r="B27" s="5" t="s">
        <v>172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35">
      <c r="B28" s="11" t="s">
        <v>176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35">
      <c r="A29" s="4"/>
      <c r="B29" s="11" t="s">
        <v>177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35">
      <c r="B30" s="11" t="s">
        <v>178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35">
      <c r="B31" s="11" t="s">
        <v>179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35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35">
      <c r="A33" s="4" t="s">
        <v>210</v>
      </c>
      <c r="B33" s="5" t="s">
        <v>173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35">
      <c r="B34" s="5" t="s">
        <v>174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35">
      <c r="B35" s="5" t="s">
        <v>175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35">
      <c r="B36" s="5" t="s">
        <v>183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35">
      <c r="B37" s="5" t="s">
        <v>186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35">
      <c r="B38" s="5" t="s">
        <v>194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35">
      <c r="B39" s="5" t="s">
        <v>195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35">
      <c r="B40" s="5" t="s">
        <v>196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35">
      <c r="B41" s="5" t="s">
        <v>197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35">
      <c r="B42" s="5" t="s">
        <v>198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t3KA/69voPVtNh6z7hdsvds3ikKVsufJv032fnN6QU1ZSJkR3gzh0bPm6vk5qmBsnP6BEClkvLnTtY2Ci/cRgw==" saltValue="yooJKP0VfomQzBBArWW9Ow==" spinCount="100000" sheet="1" objects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15" workbookViewId="0">
      <selection activeCell="E28" sqref="E28"/>
    </sheetView>
  </sheetViews>
  <sheetFormatPr defaultColWidth="12.81640625" defaultRowHeight="12.5" x14ac:dyDescent="0.25"/>
  <cols>
    <col min="1" max="1" width="58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160</v>
      </c>
      <c r="B1" s="8" t="s">
        <v>226</v>
      </c>
      <c r="C1" s="8" t="s">
        <v>121</v>
      </c>
      <c r="D1" s="8" t="s">
        <v>227</v>
      </c>
      <c r="E1" s="8" t="s">
        <v>228</v>
      </c>
      <c r="F1" s="8" t="s">
        <v>128</v>
      </c>
      <c r="G1" s="8" t="s">
        <v>87</v>
      </c>
      <c r="H1" s="8" t="s">
        <v>43</v>
      </c>
      <c r="I1" s="8" t="s">
        <v>229</v>
      </c>
      <c r="J1" s="8" t="s">
        <v>36</v>
      </c>
      <c r="K1" s="8" t="s">
        <v>68</v>
      </c>
    </row>
    <row r="2" spans="1:11" ht="13.25" customHeight="1" x14ac:dyDescent="0.25">
      <c r="A2" s="5" t="s">
        <v>168</v>
      </c>
      <c r="B2" s="87"/>
      <c r="C2" s="87"/>
      <c r="D2" s="87"/>
      <c r="E2" s="87"/>
      <c r="F2" s="87"/>
      <c r="G2" s="87"/>
      <c r="H2" s="87"/>
      <c r="I2" s="87" t="s">
        <v>5</v>
      </c>
      <c r="J2" s="87"/>
      <c r="K2" s="87"/>
    </row>
    <row r="3" spans="1:11" ht="13.25" customHeight="1" x14ac:dyDescent="0.25">
      <c r="A3" s="5" t="s">
        <v>169</v>
      </c>
      <c r="B3" s="87"/>
      <c r="C3" s="87"/>
      <c r="D3" s="87"/>
      <c r="E3" s="87"/>
      <c r="F3" s="87"/>
      <c r="G3" s="87"/>
      <c r="H3" s="87" t="s">
        <v>5</v>
      </c>
      <c r="I3" s="87"/>
      <c r="J3" s="87"/>
      <c r="K3" s="87"/>
    </row>
    <row r="4" spans="1:11" ht="13.25" customHeight="1" x14ac:dyDescent="0.25">
      <c r="A4" s="5" t="s">
        <v>170</v>
      </c>
      <c r="B4" s="87"/>
      <c r="C4" s="87"/>
      <c r="D4" s="87" t="s">
        <v>5</v>
      </c>
      <c r="E4" s="87"/>
      <c r="F4" s="87"/>
      <c r="G4" s="87"/>
      <c r="H4" s="87"/>
      <c r="I4" s="87"/>
      <c r="J4" s="87"/>
      <c r="K4" s="87"/>
    </row>
    <row r="5" spans="1:11" ht="13.25" customHeight="1" x14ac:dyDescent="0.25">
      <c r="A5" s="5" t="s">
        <v>171</v>
      </c>
      <c r="B5" s="87"/>
      <c r="C5" s="87" t="s">
        <v>5</v>
      </c>
      <c r="D5" s="87"/>
      <c r="E5" s="87"/>
      <c r="F5" s="87"/>
      <c r="G5" s="87"/>
      <c r="H5" s="87"/>
      <c r="I5" s="87"/>
      <c r="J5" s="87"/>
      <c r="K5" s="87"/>
    </row>
    <row r="6" spans="1:11" ht="13.25" customHeight="1" x14ac:dyDescent="0.25">
      <c r="A6" s="5" t="s">
        <v>172</v>
      </c>
      <c r="B6" s="87"/>
      <c r="C6" s="87"/>
      <c r="D6" s="87"/>
      <c r="E6" s="87"/>
      <c r="F6" s="87"/>
      <c r="G6" s="87"/>
      <c r="H6" s="87"/>
      <c r="I6" s="87"/>
      <c r="J6" s="87" t="s">
        <v>5</v>
      </c>
      <c r="K6" s="87" t="s">
        <v>5</v>
      </c>
    </row>
    <row r="7" spans="1:11" ht="13.25" customHeight="1" x14ac:dyDescent="0.25">
      <c r="A7" s="5" t="s">
        <v>173</v>
      </c>
      <c r="B7" s="87"/>
      <c r="C7" s="87" t="s">
        <v>5</v>
      </c>
      <c r="D7" s="87"/>
      <c r="E7" s="87"/>
      <c r="F7" s="87"/>
      <c r="G7" s="87"/>
      <c r="H7" s="87" t="s">
        <v>5</v>
      </c>
      <c r="I7" s="87"/>
      <c r="J7" s="87"/>
      <c r="K7" s="87"/>
    </row>
    <row r="8" spans="1:11" ht="13.25" customHeight="1" x14ac:dyDescent="0.25">
      <c r="A8" s="5" t="s">
        <v>174</v>
      </c>
      <c r="B8" s="87"/>
      <c r="C8" s="87" t="s">
        <v>5</v>
      </c>
      <c r="D8" s="87"/>
      <c r="E8" s="87"/>
      <c r="F8" s="87"/>
      <c r="G8" s="87"/>
      <c r="H8" s="87" t="s">
        <v>5</v>
      </c>
      <c r="I8" s="87"/>
      <c r="J8" s="87"/>
      <c r="K8" s="87"/>
    </row>
    <row r="9" spans="1:11" ht="13.25" customHeight="1" x14ac:dyDescent="0.25">
      <c r="A9" s="5" t="s">
        <v>175</v>
      </c>
      <c r="B9" s="87"/>
      <c r="C9" s="87" t="s">
        <v>5</v>
      </c>
      <c r="D9" s="87"/>
      <c r="E9" s="87"/>
      <c r="F9" s="87"/>
      <c r="G9" s="87"/>
      <c r="H9" s="87" t="s">
        <v>5</v>
      </c>
      <c r="I9" s="87"/>
      <c r="J9" s="87"/>
      <c r="K9" s="87"/>
    </row>
    <row r="10" spans="1:11" ht="13.25" customHeight="1" x14ac:dyDescent="0.25">
      <c r="A10" s="11" t="s">
        <v>176</v>
      </c>
      <c r="B10" s="87"/>
      <c r="C10" s="87" t="s">
        <v>5</v>
      </c>
      <c r="D10" s="87"/>
      <c r="E10" s="87"/>
      <c r="F10" s="87"/>
      <c r="G10" s="87"/>
      <c r="H10" s="87"/>
      <c r="I10" s="87"/>
      <c r="J10" s="87"/>
      <c r="K10" s="87"/>
    </row>
    <row r="11" spans="1:11" ht="13.25" customHeight="1" x14ac:dyDescent="0.25">
      <c r="A11" s="11" t="s">
        <v>177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/>
      <c r="K11" s="87"/>
    </row>
    <row r="12" spans="1:11" ht="13.25" customHeight="1" x14ac:dyDescent="0.25">
      <c r="A12" s="11" t="s">
        <v>178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/>
    </row>
    <row r="13" spans="1:11" ht="13.25" customHeight="1" x14ac:dyDescent="0.25">
      <c r="A13" s="11" t="s">
        <v>179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/>
    </row>
    <row r="14" spans="1:11" ht="13.25" customHeight="1" x14ac:dyDescent="0.25">
      <c r="A14" s="5" t="s">
        <v>180</v>
      </c>
      <c r="B14" s="87"/>
      <c r="C14" s="87" t="s">
        <v>5</v>
      </c>
      <c r="D14" s="87"/>
      <c r="E14" s="87"/>
      <c r="F14" s="87"/>
      <c r="G14" s="87"/>
      <c r="H14" s="87"/>
      <c r="I14" s="87" t="s">
        <v>5</v>
      </c>
      <c r="J14" s="87"/>
      <c r="K14" s="87"/>
    </row>
    <row r="15" spans="1:11" ht="13.25" customHeight="1" x14ac:dyDescent="0.25">
      <c r="A15" s="5" t="s">
        <v>181</v>
      </c>
      <c r="B15" s="87"/>
      <c r="C15" s="87" t="s">
        <v>5</v>
      </c>
      <c r="D15" s="87"/>
      <c r="E15" s="87"/>
      <c r="F15" s="87"/>
      <c r="G15" s="87"/>
      <c r="H15" s="87"/>
      <c r="I15" s="87" t="s">
        <v>5</v>
      </c>
      <c r="J15" s="87"/>
      <c r="K15" s="87"/>
    </row>
    <row r="16" spans="1:11" ht="13.25" customHeight="1" x14ac:dyDescent="0.25">
      <c r="A16" s="5" t="s">
        <v>182</v>
      </c>
      <c r="B16" s="87"/>
      <c r="C16" s="87" t="s">
        <v>5</v>
      </c>
      <c r="D16" s="87"/>
      <c r="E16" s="87"/>
      <c r="F16" s="87"/>
      <c r="G16" s="87"/>
      <c r="H16" s="87" t="s">
        <v>5</v>
      </c>
      <c r="I16" s="87" t="s">
        <v>5</v>
      </c>
      <c r="J16" s="87"/>
      <c r="K16" s="87"/>
    </row>
    <row r="17" spans="1:11" ht="13.25" customHeight="1" x14ac:dyDescent="0.25">
      <c r="A17" s="5" t="s">
        <v>183</v>
      </c>
      <c r="B17" s="87"/>
      <c r="C17" s="87" t="s">
        <v>5</v>
      </c>
      <c r="D17" s="87"/>
      <c r="E17" s="87"/>
      <c r="F17" s="87"/>
      <c r="G17" s="87"/>
      <c r="H17" s="87"/>
      <c r="I17" s="87"/>
      <c r="J17" s="87"/>
      <c r="K17" s="87"/>
    </row>
    <row r="18" spans="1:11" ht="13.25" customHeight="1" x14ac:dyDescent="0.25">
      <c r="A18" s="5" t="s">
        <v>157</v>
      </c>
      <c r="B18" s="87" t="s">
        <v>5</v>
      </c>
      <c r="C18" s="87"/>
      <c r="D18" s="87"/>
      <c r="E18" s="87"/>
      <c r="F18" s="87" t="s">
        <v>5</v>
      </c>
      <c r="G18" s="87"/>
      <c r="H18" s="87"/>
      <c r="I18" s="87"/>
      <c r="J18" s="87"/>
      <c r="K18" s="87"/>
    </row>
    <row r="19" spans="1:11" ht="13.25" customHeight="1" x14ac:dyDescent="0.25">
      <c r="A19" s="5" t="s">
        <v>158</v>
      </c>
      <c r="B19" s="87" t="s">
        <v>5</v>
      </c>
      <c r="C19" s="87"/>
      <c r="D19" s="87"/>
      <c r="E19" s="87"/>
      <c r="F19" s="87" t="s">
        <v>5</v>
      </c>
      <c r="G19" s="87"/>
      <c r="H19" s="87"/>
      <c r="I19" s="87"/>
      <c r="J19" s="87"/>
      <c r="K19" s="87"/>
    </row>
    <row r="20" spans="1:11" ht="13.25" customHeight="1" x14ac:dyDescent="0.25">
      <c r="A20" s="5" t="s">
        <v>159</v>
      </c>
      <c r="B20" s="87" t="s">
        <v>5</v>
      </c>
      <c r="C20" s="87"/>
      <c r="D20" s="87"/>
      <c r="E20" s="87"/>
      <c r="F20" s="87" t="s">
        <v>5</v>
      </c>
      <c r="G20" s="87"/>
      <c r="H20" s="87"/>
      <c r="I20" s="87"/>
      <c r="J20" s="87"/>
      <c r="K20" s="87"/>
    </row>
    <row r="21" spans="1:11" ht="13.25" customHeight="1" x14ac:dyDescent="0.25">
      <c r="A21" s="5" t="s">
        <v>184</v>
      </c>
      <c r="B21" s="87"/>
      <c r="C21" s="87"/>
      <c r="D21" s="87"/>
      <c r="E21" s="87"/>
      <c r="F21" s="87"/>
      <c r="G21" s="87"/>
      <c r="H21" s="87" t="s">
        <v>5</v>
      </c>
      <c r="I21" s="87" t="s">
        <v>5</v>
      </c>
      <c r="J21" s="87"/>
      <c r="K21" s="87"/>
    </row>
    <row r="22" spans="1:11" ht="13.25" customHeight="1" x14ac:dyDescent="0.25">
      <c r="A22" s="5" t="s">
        <v>185</v>
      </c>
      <c r="B22" s="87" t="s">
        <v>5</v>
      </c>
      <c r="C22" s="87" t="s">
        <v>5</v>
      </c>
      <c r="D22" s="87" t="s">
        <v>5</v>
      </c>
      <c r="E22" s="87"/>
      <c r="F22" s="87"/>
      <c r="G22" s="87"/>
      <c r="H22" s="87"/>
      <c r="I22" s="87"/>
      <c r="J22" s="87"/>
      <c r="K22" s="87"/>
    </row>
    <row r="23" spans="1:11" x14ac:dyDescent="0.25">
      <c r="A23" s="5" t="s">
        <v>186</v>
      </c>
      <c r="B23" s="87"/>
      <c r="C23" s="87" t="s">
        <v>5</v>
      </c>
      <c r="D23" s="87"/>
      <c r="E23" s="87"/>
      <c r="F23" s="87"/>
      <c r="G23" s="87"/>
      <c r="H23" s="87"/>
      <c r="I23" s="87" t="s">
        <v>5</v>
      </c>
      <c r="J23" s="87"/>
      <c r="K23" s="87"/>
    </row>
    <row r="24" spans="1:11" x14ac:dyDescent="0.25">
      <c r="A24" s="5" t="s">
        <v>187</v>
      </c>
      <c r="B24" s="87"/>
      <c r="C24" s="87"/>
      <c r="D24" s="87"/>
      <c r="E24" s="87"/>
      <c r="F24" s="87"/>
      <c r="G24" s="87"/>
      <c r="H24" s="87" t="s">
        <v>5</v>
      </c>
      <c r="I24" s="87"/>
      <c r="J24" s="87"/>
      <c r="K24" s="87"/>
    </row>
    <row r="25" spans="1:11" x14ac:dyDescent="0.25">
      <c r="A25" s="5" t="s">
        <v>188</v>
      </c>
      <c r="B25" s="87"/>
      <c r="C25" s="87"/>
      <c r="D25" s="87"/>
      <c r="E25" s="87"/>
      <c r="F25" s="87"/>
      <c r="G25" s="87"/>
      <c r="H25" s="87" t="s">
        <v>5</v>
      </c>
      <c r="I25" s="87"/>
      <c r="J25" s="87"/>
      <c r="K25" s="87"/>
    </row>
    <row r="26" spans="1:11" x14ac:dyDescent="0.25">
      <c r="A26" s="5" t="s">
        <v>189</v>
      </c>
      <c r="B26" s="87"/>
      <c r="C26" s="87" t="s">
        <v>5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5">
      <c r="A27" s="5" t="s">
        <v>190</v>
      </c>
      <c r="B27" s="87"/>
      <c r="C27" s="87" t="s">
        <v>5</v>
      </c>
      <c r="D27" s="87"/>
      <c r="E27" s="87"/>
      <c r="F27" s="87"/>
      <c r="G27" s="87"/>
      <c r="H27" s="87"/>
      <c r="I27" s="87" t="s">
        <v>5</v>
      </c>
      <c r="J27" s="87"/>
      <c r="K27" s="87"/>
    </row>
    <row r="28" spans="1:11" x14ac:dyDescent="0.25">
      <c r="A28" s="5" t="s">
        <v>191</v>
      </c>
      <c r="B28" s="87"/>
      <c r="C28" s="87"/>
      <c r="D28" s="87"/>
      <c r="E28" s="87"/>
      <c r="F28" s="87"/>
      <c r="G28" s="87"/>
      <c r="H28" s="87" t="s">
        <v>5</v>
      </c>
      <c r="I28" s="87"/>
      <c r="J28" s="87"/>
      <c r="K28" s="87"/>
    </row>
    <row r="29" spans="1:11" x14ac:dyDescent="0.25">
      <c r="A29" s="5" t="s">
        <v>192</v>
      </c>
      <c r="B29" s="87" t="s">
        <v>5</v>
      </c>
      <c r="C29" s="87"/>
      <c r="D29" s="87" t="s">
        <v>5</v>
      </c>
      <c r="E29" s="87"/>
      <c r="F29" s="87"/>
      <c r="G29" s="87"/>
      <c r="H29" s="87"/>
      <c r="I29" s="87"/>
      <c r="J29" s="87"/>
      <c r="K29" s="87"/>
    </row>
    <row r="30" spans="1:11" x14ac:dyDescent="0.25">
      <c r="A30" s="5" t="s">
        <v>205</v>
      </c>
      <c r="B30" s="87" t="s">
        <v>5</v>
      </c>
      <c r="C30" s="87" t="s">
        <v>5</v>
      </c>
      <c r="D30" s="87" t="s">
        <v>5</v>
      </c>
      <c r="E30" s="87"/>
      <c r="F30" s="87"/>
      <c r="G30" s="87"/>
      <c r="H30" s="87"/>
      <c r="I30" s="87"/>
      <c r="J30" s="87"/>
      <c r="K30" s="87"/>
    </row>
    <row r="31" spans="1:11" x14ac:dyDescent="0.25">
      <c r="A31" s="5" t="s">
        <v>161</v>
      </c>
      <c r="B31" s="87"/>
      <c r="C31" s="87"/>
      <c r="D31" s="87"/>
      <c r="E31" s="87" t="s">
        <v>5</v>
      </c>
      <c r="F31" s="87"/>
      <c r="G31" s="87"/>
      <c r="H31" s="87"/>
      <c r="I31" s="87"/>
      <c r="J31" s="87"/>
      <c r="K31" s="87"/>
    </row>
    <row r="32" spans="1:11" x14ac:dyDescent="0.25">
      <c r="A32" s="5" t="s">
        <v>193</v>
      </c>
      <c r="B32" s="87"/>
      <c r="C32" s="87"/>
      <c r="D32" s="87"/>
      <c r="E32" s="87"/>
      <c r="F32" s="87"/>
      <c r="G32" s="87" t="s">
        <v>5</v>
      </c>
      <c r="H32" s="87" t="s">
        <v>5</v>
      </c>
      <c r="I32" s="87"/>
      <c r="J32" s="87"/>
      <c r="K32" s="87"/>
    </row>
    <row r="33" spans="1:11" x14ac:dyDescent="0.25">
      <c r="A33" s="5" t="s">
        <v>194</v>
      </c>
      <c r="B33" s="87"/>
      <c r="C33" s="87"/>
      <c r="D33" s="87"/>
      <c r="E33" s="87"/>
      <c r="F33" s="87"/>
      <c r="G33" s="87" t="s">
        <v>5</v>
      </c>
      <c r="H33" s="87" t="s">
        <v>5</v>
      </c>
      <c r="I33" s="87"/>
      <c r="J33" s="87"/>
      <c r="K33" s="87"/>
    </row>
    <row r="34" spans="1:11" x14ac:dyDescent="0.25">
      <c r="A34" s="5" t="s">
        <v>195</v>
      </c>
      <c r="B34" s="87"/>
      <c r="C34" s="87"/>
      <c r="D34" s="87"/>
      <c r="E34" s="87"/>
      <c r="F34" s="87"/>
      <c r="G34" s="87" t="s">
        <v>5</v>
      </c>
      <c r="H34" s="87" t="s">
        <v>5</v>
      </c>
      <c r="I34" s="87"/>
      <c r="J34" s="87"/>
      <c r="K34" s="87"/>
    </row>
    <row r="35" spans="1:11" x14ac:dyDescent="0.25">
      <c r="A35" s="5" t="s">
        <v>196</v>
      </c>
      <c r="B35" s="87"/>
      <c r="C35" s="87"/>
      <c r="D35" s="87"/>
      <c r="E35" s="87"/>
      <c r="F35" s="87"/>
      <c r="G35" s="87" t="s">
        <v>5</v>
      </c>
      <c r="H35" s="87" t="s">
        <v>5</v>
      </c>
      <c r="I35" s="87"/>
      <c r="J35" s="87"/>
      <c r="K35" s="87"/>
    </row>
    <row r="36" spans="1:11" x14ac:dyDescent="0.25">
      <c r="A36" s="5" t="s">
        <v>197</v>
      </c>
      <c r="B36" s="87"/>
      <c r="C36" s="87"/>
      <c r="D36" s="87"/>
      <c r="E36" s="87"/>
      <c r="F36" s="87"/>
      <c r="G36" s="87" t="s">
        <v>5</v>
      </c>
      <c r="H36" s="87" t="s">
        <v>5</v>
      </c>
      <c r="I36" s="87"/>
      <c r="J36" s="87"/>
      <c r="K36" s="87"/>
    </row>
    <row r="37" spans="1:11" x14ac:dyDescent="0.25">
      <c r="A37" s="5" t="s">
        <v>198</v>
      </c>
      <c r="B37" s="87"/>
      <c r="C37" s="87"/>
      <c r="D37" s="87"/>
      <c r="E37" s="87"/>
      <c r="F37" s="87"/>
      <c r="G37" s="87" t="s">
        <v>5</v>
      </c>
      <c r="H37" s="87" t="s">
        <v>5</v>
      </c>
      <c r="I37" s="87"/>
      <c r="J37" s="87"/>
      <c r="K37" s="87"/>
    </row>
    <row r="38" spans="1:11" x14ac:dyDescent="0.25">
      <c r="A38" s="5" t="s">
        <v>199</v>
      </c>
      <c r="B38" s="87"/>
      <c r="C38" s="87"/>
      <c r="D38" s="87"/>
      <c r="E38" s="87"/>
      <c r="F38" s="87"/>
      <c r="G38" s="87"/>
      <c r="H38" s="87" t="s">
        <v>5</v>
      </c>
      <c r="I38" s="87"/>
      <c r="J38" s="87"/>
      <c r="K38" s="87"/>
    </row>
    <row r="39" spans="1:11" x14ac:dyDescent="0.25">
      <c r="A39" s="5" t="s">
        <v>200</v>
      </c>
      <c r="B39" s="87" t="s">
        <v>5</v>
      </c>
      <c r="C39" s="87"/>
      <c r="D39" s="87"/>
      <c r="E39" s="87"/>
      <c r="F39" s="87"/>
      <c r="G39" s="87" t="s">
        <v>5</v>
      </c>
      <c r="H39" s="87" t="s">
        <v>5</v>
      </c>
      <c r="I39" s="87"/>
      <c r="J39" s="87"/>
      <c r="K39" s="87"/>
    </row>
  </sheetData>
  <sheetProtection algorithmName="SHA-512" hashValue="n5xcEYwufHPYrikQdeKn16pHoX2bI5AzYU0TRfOleA0sfI+fwuAis1C+OM8VXysuzTD5Ev/wrC7Yy902XILVng==" saltValue="dzYaMpd4N3HcZllAUKpfow==" spinCount="100000" sheet="1" objects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81640625" defaultRowHeight="12.5" x14ac:dyDescent="0.25"/>
  <cols>
    <col min="1" max="1" width="16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230</v>
      </c>
      <c r="B1" s="8" t="s">
        <v>226</v>
      </c>
      <c r="C1" s="8" t="s">
        <v>121</v>
      </c>
      <c r="D1" s="8" t="s">
        <v>227</v>
      </c>
      <c r="E1" s="8" t="s">
        <v>228</v>
      </c>
      <c r="F1" s="8" t="s">
        <v>128</v>
      </c>
      <c r="G1" s="8" t="s">
        <v>87</v>
      </c>
      <c r="H1" s="8" t="s">
        <v>43</v>
      </c>
      <c r="I1" s="8" t="s">
        <v>229</v>
      </c>
      <c r="J1" s="8" t="s">
        <v>36</v>
      </c>
      <c r="K1" s="8" t="s">
        <v>68</v>
      </c>
    </row>
    <row r="2" spans="1:11" ht="13.25" customHeight="1" x14ac:dyDescent="0.25">
      <c r="A2" s="8" t="s">
        <v>109</v>
      </c>
      <c r="B2" s="87" t="s">
        <v>5</v>
      </c>
      <c r="C2" s="87" t="s">
        <v>5</v>
      </c>
      <c r="D2" s="87" t="s">
        <v>5</v>
      </c>
      <c r="E2" s="87" t="s">
        <v>5</v>
      </c>
      <c r="F2" s="87" t="s">
        <v>5</v>
      </c>
      <c r="G2" s="87" t="s">
        <v>5</v>
      </c>
      <c r="H2" s="87" t="s">
        <v>5</v>
      </c>
      <c r="I2" s="87"/>
      <c r="J2" s="87"/>
      <c r="K2" s="87"/>
    </row>
    <row r="3" spans="1:11" ht="13.25" customHeight="1" x14ac:dyDescent="0.25">
      <c r="A3" s="8" t="s">
        <v>96</v>
      </c>
      <c r="B3" s="87" t="s">
        <v>5</v>
      </c>
      <c r="C3" s="87" t="s">
        <v>5</v>
      </c>
      <c r="D3" s="87" t="s">
        <v>5</v>
      </c>
      <c r="E3" s="87" t="s">
        <v>5</v>
      </c>
      <c r="F3" s="87" t="s">
        <v>5</v>
      </c>
      <c r="G3" s="87" t="s">
        <v>5</v>
      </c>
      <c r="H3" s="87" t="s">
        <v>5</v>
      </c>
      <c r="I3" s="87"/>
      <c r="J3" s="87"/>
      <c r="K3" s="87"/>
    </row>
    <row r="4" spans="1:11" ht="13.25" customHeight="1" x14ac:dyDescent="0.25">
      <c r="A4" s="8" t="s">
        <v>97</v>
      </c>
      <c r="B4" s="87" t="s">
        <v>5</v>
      </c>
      <c r="C4" s="87" t="s">
        <v>5</v>
      </c>
      <c r="D4" s="87" t="s">
        <v>5</v>
      </c>
      <c r="E4" s="87" t="s">
        <v>5</v>
      </c>
      <c r="F4" s="87" t="s">
        <v>5</v>
      </c>
      <c r="G4" s="87" t="s">
        <v>5</v>
      </c>
      <c r="H4" s="87" t="s">
        <v>5</v>
      </c>
      <c r="I4" s="87"/>
      <c r="J4" s="87"/>
      <c r="K4" s="87"/>
    </row>
    <row r="5" spans="1:11" ht="13.25" customHeight="1" x14ac:dyDescent="0.25">
      <c r="A5" s="8" t="s">
        <v>98</v>
      </c>
      <c r="B5" s="87" t="s">
        <v>5</v>
      </c>
      <c r="C5" s="87" t="s">
        <v>5</v>
      </c>
      <c r="D5" s="87" t="s">
        <v>5</v>
      </c>
      <c r="E5" s="87" t="s">
        <v>5</v>
      </c>
      <c r="F5" s="87" t="s">
        <v>5</v>
      </c>
      <c r="G5" s="87" t="s">
        <v>5</v>
      </c>
      <c r="H5" s="87" t="s">
        <v>5</v>
      </c>
      <c r="I5" s="87"/>
      <c r="J5" s="87"/>
      <c r="K5" s="87"/>
    </row>
    <row r="6" spans="1:11" ht="13.25" customHeight="1" x14ac:dyDescent="0.25">
      <c r="A6" s="8" t="s">
        <v>99</v>
      </c>
      <c r="B6" s="87" t="s">
        <v>5</v>
      </c>
      <c r="C6" s="87" t="s">
        <v>5</v>
      </c>
      <c r="D6" s="87" t="s">
        <v>5</v>
      </c>
      <c r="E6" s="87" t="s">
        <v>5</v>
      </c>
      <c r="F6" s="87" t="s">
        <v>5</v>
      </c>
      <c r="G6" s="87" t="s">
        <v>5</v>
      </c>
      <c r="H6" s="87" t="s">
        <v>5</v>
      </c>
      <c r="I6" s="87"/>
      <c r="J6" s="87"/>
      <c r="K6" s="87"/>
    </row>
    <row r="7" spans="1:11" ht="13.25" customHeight="1" x14ac:dyDescent="0.25">
      <c r="A7" s="8" t="s">
        <v>122</v>
      </c>
      <c r="B7" s="87"/>
      <c r="C7" s="87" t="s">
        <v>5</v>
      </c>
      <c r="D7" s="87"/>
      <c r="E7" s="87"/>
      <c r="F7" s="87"/>
      <c r="G7" s="87"/>
      <c r="H7" s="87" t="s">
        <v>5</v>
      </c>
      <c r="I7" s="87" t="s">
        <v>5</v>
      </c>
      <c r="J7" s="87"/>
      <c r="K7" s="87"/>
    </row>
    <row r="8" spans="1:11" ht="13.25" customHeight="1" x14ac:dyDescent="0.25">
      <c r="A8" s="8" t="s">
        <v>123</v>
      </c>
      <c r="B8" s="87"/>
      <c r="C8" s="87" t="s">
        <v>5</v>
      </c>
      <c r="D8" s="87"/>
      <c r="E8" s="87"/>
      <c r="F8" s="87"/>
      <c r="G8" s="87"/>
      <c r="H8" s="87" t="s">
        <v>5</v>
      </c>
      <c r="I8" s="87" t="s">
        <v>5</v>
      </c>
      <c r="J8" s="87"/>
      <c r="K8" s="87"/>
    </row>
    <row r="9" spans="1:11" ht="13.25" customHeight="1" x14ac:dyDescent="0.25">
      <c r="A9" s="8" t="s">
        <v>124</v>
      </c>
      <c r="B9" s="87"/>
      <c r="C9" s="87" t="s">
        <v>5</v>
      </c>
      <c r="D9" s="87"/>
      <c r="E9" s="87"/>
      <c r="F9" s="87"/>
      <c r="G9" s="87"/>
      <c r="H9" s="87" t="s">
        <v>5</v>
      </c>
      <c r="I9" s="87" t="s">
        <v>5</v>
      </c>
      <c r="J9" s="87"/>
      <c r="K9" s="87"/>
    </row>
    <row r="10" spans="1:11" ht="13.25" customHeight="1" x14ac:dyDescent="0.25">
      <c r="A10" s="8" t="s">
        <v>125</v>
      </c>
      <c r="B10" s="87"/>
      <c r="C10" s="87" t="s">
        <v>5</v>
      </c>
      <c r="D10" s="87"/>
      <c r="E10" s="87"/>
      <c r="F10" s="87"/>
      <c r="G10" s="87"/>
      <c r="H10" s="87" t="s">
        <v>5</v>
      </c>
      <c r="I10" s="87" t="s">
        <v>5</v>
      </c>
      <c r="J10" s="87"/>
      <c r="K10" s="87"/>
    </row>
    <row r="11" spans="1:11" ht="13.25" customHeight="1" x14ac:dyDescent="0.25">
      <c r="A11" s="8" t="s">
        <v>69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 t="s">
        <v>5</v>
      </c>
      <c r="K11" s="87" t="s">
        <v>5</v>
      </c>
    </row>
    <row r="12" spans="1:11" ht="13.25" customHeight="1" x14ac:dyDescent="0.25">
      <c r="A12" s="8" t="s">
        <v>70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 t="s">
        <v>5</v>
      </c>
    </row>
    <row r="13" spans="1:11" ht="13.25" customHeight="1" x14ac:dyDescent="0.25">
      <c r="A13" s="8" t="s">
        <v>71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 t="s">
        <v>5</v>
      </c>
    </row>
    <row r="14" spans="1:11" ht="13.25" customHeight="1" x14ac:dyDescent="0.25">
      <c r="A14" s="8" t="s">
        <v>72</v>
      </c>
      <c r="B14" s="87"/>
      <c r="C14" s="87" t="s">
        <v>5</v>
      </c>
      <c r="D14" s="87"/>
      <c r="E14" s="87"/>
      <c r="F14" s="87"/>
      <c r="G14" s="87"/>
      <c r="H14" s="87"/>
      <c r="I14" s="87"/>
      <c r="J14" s="87"/>
      <c r="K14" s="87" t="s">
        <v>5</v>
      </c>
    </row>
  </sheetData>
  <sheetProtection algorithmName="SHA-512" hashValue="r45nwLKVsrwYRF4EnWpmf7tdcbWoTzzgNkrPv0vHoe6jJ1JvnzHpLrIKV3HuDStNlebSXmoecQSKU9kla1unsA==" saltValue="clb7SmoZfrnXAA5tkaJhaQ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13" zoomScale="85" zoomScaleNormal="85" workbookViewId="0">
      <selection activeCell="E28" sqref="E28"/>
    </sheetView>
  </sheetViews>
  <sheetFormatPr defaultColWidth="12.81640625" defaultRowHeight="12.5" x14ac:dyDescent="0.25"/>
  <cols>
    <col min="1" max="1" width="48.08984375" style="8" customWidth="1"/>
    <col min="2" max="2" width="15" style="8" customWidth="1"/>
    <col min="3" max="3" width="14.6328125" style="8" customWidth="1"/>
    <col min="4" max="4" width="12.81640625" style="8" customWidth="1"/>
    <col min="5" max="16384" width="12.81640625" style="8"/>
  </cols>
  <sheetData>
    <row r="1" spans="1:10" ht="13" customHeight="1" x14ac:dyDescent="0.3">
      <c r="A1" s="4" t="s">
        <v>231</v>
      </c>
      <c r="B1" s="4" t="s">
        <v>152</v>
      </c>
      <c r="C1" s="4" t="s">
        <v>164</v>
      </c>
      <c r="D1" s="4" t="s">
        <v>109</v>
      </c>
      <c r="E1" s="4" t="s">
        <v>96</v>
      </c>
      <c r="F1" s="4" t="s">
        <v>97</v>
      </c>
      <c r="G1" s="4" t="s">
        <v>98</v>
      </c>
      <c r="H1" s="4" t="s">
        <v>99</v>
      </c>
    </row>
    <row r="2" spans="1:10" ht="13" customHeight="1" x14ac:dyDescent="0.3">
      <c r="A2" s="4" t="s">
        <v>232</v>
      </c>
      <c r="B2" s="103" t="s">
        <v>100</v>
      </c>
      <c r="C2" s="8" t="s">
        <v>153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ht="13.25" customHeight="1" x14ac:dyDescent="0.25">
      <c r="B3" s="104"/>
      <c r="C3" s="8" t="s">
        <v>154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ht="13.25" customHeight="1" x14ac:dyDescent="0.25">
      <c r="B4" s="104"/>
      <c r="C4" s="8" t="s">
        <v>155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ht="13.25" customHeight="1" x14ac:dyDescent="0.25">
      <c r="B5" s="103" t="s">
        <v>109</v>
      </c>
      <c r="C5" s="8" t="s">
        <v>153</v>
      </c>
      <c r="D5" s="88">
        <f>IFERROR((MIN(1,1.56*'Dist. l''allaitement maternel'!$C$2)/(1-MIN(1,1.56*'Dist. l''allaitement maternel'!$C$2))) /
('Dist. l''allaitement maternel'!$C$2/(1-'Dist. l''allaitement maternel'!$C$2)), 1.56)</f>
        <v>2.9393246398175905</v>
      </c>
      <c r="E5" s="88">
        <v>1</v>
      </c>
      <c r="F5" s="88">
        <v>1</v>
      </c>
      <c r="G5" s="88">
        <v>1</v>
      </c>
      <c r="H5" s="88">
        <v>1</v>
      </c>
    </row>
    <row r="6" spans="1:10" ht="13.25" customHeight="1" x14ac:dyDescent="0.25">
      <c r="B6" s="104"/>
      <c r="C6" s="8" t="s">
        <v>154</v>
      </c>
      <c r="D6" s="88">
        <f>IFERROR((MIN(1,1.56*'Dist. l''allaitement maternel'!$C$2)/(1-MIN(1,1.56*'Dist. l''allaitement maternel'!$C$2))) /
('Dist. l''allaitement maternel'!$C$2/(1-'Dist. l''allaitement maternel'!$C$2)), 1.56)</f>
        <v>2.9393246398175905</v>
      </c>
      <c r="E6" s="88">
        <v>1</v>
      </c>
      <c r="F6" s="88">
        <v>1</v>
      </c>
      <c r="G6" s="88">
        <v>1</v>
      </c>
      <c r="H6" s="88">
        <v>1</v>
      </c>
    </row>
    <row r="7" spans="1:10" ht="13.25" customHeight="1" x14ac:dyDescent="0.25">
      <c r="B7" s="104"/>
      <c r="C7" s="8" t="s">
        <v>155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ht="13.25" customHeight="1" x14ac:dyDescent="0.25">
      <c r="B8" s="103" t="s">
        <v>96</v>
      </c>
      <c r="C8" s="8" t="s">
        <v>153</v>
      </c>
      <c r="D8" s="88">
        <v>1</v>
      </c>
      <c r="E8" s="88">
        <f>IFERROR((MIN(1,1.56*'Dist. l''allaitement maternel'!$D$2)/(1-MIN(1,1.56*'Dist. l''allaitement maternel'!$D$2))) /
('Dist. l''allaitement maternel'!$D$2/(1-'Dist. l''allaitement maternel'!$D$2)), 1.56)</f>
        <v>1.996907030988702</v>
      </c>
      <c r="F8" s="88">
        <v>1</v>
      </c>
      <c r="G8" s="88">
        <v>1</v>
      </c>
      <c r="H8" s="88">
        <v>1</v>
      </c>
    </row>
    <row r="9" spans="1:10" ht="13.25" customHeight="1" x14ac:dyDescent="0.25">
      <c r="B9" s="104"/>
      <c r="C9" s="8" t="s">
        <v>154</v>
      </c>
      <c r="D9" s="88">
        <v>1</v>
      </c>
      <c r="E9" s="88">
        <f>IFERROR((MIN(1,1.56*'Dist. l''allaitement maternel'!$D$2)/(1-MIN(1,1.56*'Dist. l''allaitement maternel'!$D$2))) /
('Dist. l''allaitement maternel'!$D$2/(1-'Dist. l''allaitement maternel'!$D$2)), 1.56)</f>
        <v>1.996907030988702</v>
      </c>
      <c r="F9" s="88">
        <v>1</v>
      </c>
      <c r="G9" s="88">
        <v>1</v>
      </c>
      <c r="H9" s="88">
        <v>1</v>
      </c>
    </row>
    <row r="10" spans="1:10" ht="13.25" customHeight="1" x14ac:dyDescent="0.25">
      <c r="B10" s="104"/>
      <c r="C10" s="8" t="s">
        <v>155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ht="13.25" customHeight="1" x14ac:dyDescent="0.25">
      <c r="B11" s="103" t="s">
        <v>97</v>
      </c>
      <c r="C11" s="8" t="s">
        <v>153</v>
      </c>
      <c r="D11" s="88">
        <v>1</v>
      </c>
      <c r="E11" s="88">
        <v>1</v>
      </c>
      <c r="F11" s="88">
        <v>1.73</v>
      </c>
      <c r="G11" s="88">
        <v>1</v>
      </c>
      <c r="H11" s="88">
        <v>1</v>
      </c>
    </row>
    <row r="12" spans="1:10" ht="13.25" customHeight="1" x14ac:dyDescent="0.25">
      <c r="B12" s="104"/>
      <c r="C12" s="8" t="s">
        <v>154</v>
      </c>
      <c r="D12" s="88">
        <v>1</v>
      </c>
      <c r="E12" s="88">
        <v>1</v>
      </c>
      <c r="F12" s="88">
        <v>1.73</v>
      </c>
      <c r="G12" s="88">
        <v>1</v>
      </c>
      <c r="H12" s="88">
        <v>1</v>
      </c>
    </row>
    <row r="13" spans="1:10" ht="13.25" customHeight="1" x14ac:dyDescent="0.25">
      <c r="B13" s="104"/>
      <c r="C13" s="8" t="s">
        <v>155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ht="13.25" customHeight="1" x14ac:dyDescent="0.25">
      <c r="B14" s="103" t="s">
        <v>98</v>
      </c>
      <c r="C14" s="8" t="s">
        <v>153</v>
      </c>
      <c r="D14" s="88">
        <v>1</v>
      </c>
      <c r="E14" s="88">
        <v>1</v>
      </c>
      <c r="F14" s="88">
        <v>1</v>
      </c>
      <c r="G14" s="88">
        <v>1.73</v>
      </c>
      <c r="H14" s="88">
        <v>1</v>
      </c>
    </row>
    <row r="15" spans="1:10" ht="13.25" customHeight="1" x14ac:dyDescent="0.25">
      <c r="B15" s="104"/>
      <c r="C15" s="8" t="s">
        <v>154</v>
      </c>
      <c r="D15" s="88">
        <v>1</v>
      </c>
      <c r="E15" s="88">
        <v>1</v>
      </c>
      <c r="F15" s="88">
        <v>1</v>
      </c>
      <c r="G15" s="88">
        <v>1.73</v>
      </c>
      <c r="H15" s="88">
        <v>1</v>
      </c>
    </row>
    <row r="16" spans="1:10" ht="13.25" customHeight="1" x14ac:dyDescent="0.25">
      <c r="B16" s="104"/>
      <c r="C16" s="8" t="s">
        <v>155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ht="13" customHeight="1" x14ac:dyDescent="0.25">
      <c r="B17" s="65" t="s">
        <v>156</v>
      </c>
      <c r="C17" s="8" t="s">
        <v>155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ht="13.25" customHeight="1" x14ac:dyDescent="0.25">
      <c r="D18" s="86"/>
      <c r="E18" s="86"/>
      <c r="F18" s="86"/>
      <c r="G18" s="86"/>
      <c r="H18" s="86"/>
    </row>
    <row r="19" spans="1:8" ht="13" customHeight="1" x14ac:dyDescent="0.3">
      <c r="A19" s="4" t="s">
        <v>233</v>
      </c>
      <c r="B19" s="103" t="s">
        <v>100</v>
      </c>
      <c r="C19" s="8" t="s">
        <v>153</v>
      </c>
      <c r="D19" s="88">
        <v>1</v>
      </c>
      <c r="E19" s="88">
        <v>1</v>
      </c>
      <c r="F19" s="88">
        <v>1</v>
      </c>
      <c r="G19" s="88">
        <v>1</v>
      </c>
      <c r="H19" s="88">
        <v>1</v>
      </c>
    </row>
    <row r="20" spans="1:8" ht="13.25" customHeight="1" x14ac:dyDescent="0.25">
      <c r="B20" s="104"/>
      <c r="C20" s="8" t="s">
        <v>154</v>
      </c>
      <c r="D20" s="88">
        <v>1</v>
      </c>
      <c r="E20" s="88">
        <v>1</v>
      </c>
      <c r="F20" s="88">
        <v>1</v>
      </c>
      <c r="G20" s="88">
        <v>1</v>
      </c>
      <c r="H20" s="88">
        <v>1</v>
      </c>
    </row>
    <row r="21" spans="1:8" ht="13.25" customHeight="1" x14ac:dyDescent="0.25">
      <c r="B21" s="104"/>
      <c r="C21" s="8" t="s">
        <v>155</v>
      </c>
      <c r="D21" s="88">
        <v>1</v>
      </c>
      <c r="E21" s="88">
        <v>1</v>
      </c>
      <c r="F21" s="88">
        <v>1</v>
      </c>
      <c r="G21" s="88">
        <v>1</v>
      </c>
      <c r="H21" s="88">
        <v>1</v>
      </c>
    </row>
    <row r="22" spans="1:8" ht="13.25" customHeight="1" x14ac:dyDescent="0.25">
      <c r="B22" s="103" t="s">
        <v>109</v>
      </c>
      <c r="C22" s="8" t="s">
        <v>153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ht="13.25" customHeight="1" x14ac:dyDescent="0.25">
      <c r="B23" s="104"/>
      <c r="C23" s="8" t="s">
        <v>154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ht="13.25" customHeight="1" x14ac:dyDescent="0.25">
      <c r="B24" s="104"/>
      <c r="C24" s="8" t="s">
        <v>155</v>
      </c>
      <c r="D24" s="88">
        <v>1</v>
      </c>
      <c r="E24" s="88">
        <v>1</v>
      </c>
      <c r="F24" s="88">
        <v>1</v>
      </c>
      <c r="G24" s="88">
        <v>1</v>
      </c>
      <c r="H24" s="88">
        <v>1</v>
      </c>
    </row>
    <row r="25" spans="1:8" ht="13.25" customHeight="1" x14ac:dyDescent="0.25">
      <c r="B25" s="103" t="s">
        <v>96</v>
      </c>
      <c r="C25" s="8" t="s">
        <v>153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ht="13.25" customHeight="1" x14ac:dyDescent="0.25">
      <c r="B26" s="104"/>
      <c r="C26" s="8" t="s">
        <v>154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5">
      <c r="B27" s="104"/>
      <c r="C27" s="8" t="s">
        <v>155</v>
      </c>
      <c r="D27" s="88">
        <v>1</v>
      </c>
      <c r="E27" s="88">
        <v>1</v>
      </c>
      <c r="F27" s="88">
        <v>1</v>
      </c>
      <c r="G27" s="88">
        <v>1</v>
      </c>
      <c r="H27" s="88">
        <v>1</v>
      </c>
    </row>
    <row r="28" spans="1:8" x14ac:dyDescent="0.25">
      <c r="B28" s="103" t="s">
        <v>97</v>
      </c>
      <c r="C28" s="8" t="s">
        <v>153</v>
      </c>
      <c r="D28" s="88">
        <v>1</v>
      </c>
      <c r="E28" s="88">
        <v>1</v>
      </c>
      <c r="F28" s="88">
        <v>1</v>
      </c>
      <c r="G28" s="88">
        <v>1</v>
      </c>
      <c r="H28" s="88">
        <v>1</v>
      </c>
    </row>
    <row r="29" spans="1:8" x14ac:dyDescent="0.25">
      <c r="B29" s="104"/>
      <c r="C29" s="8" t="s">
        <v>154</v>
      </c>
      <c r="D29" s="88">
        <v>1</v>
      </c>
      <c r="E29" s="88">
        <v>1</v>
      </c>
      <c r="F29" s="88">
        <v>1</v>
      </c>
      <c r="G29" s="88">
        <v>1</v>
      </c>
      <c r="H29" s="88">
        <v>1</v>
      </c>
    </row>
    <row r="30" spans="1:8" x14ac:dyDescent="0.25">
      <c r="B30" s="104"/>
      <c r="C30" s="8" t="s">
        <v>155</v>
      </c>
      <c r="D30" s="88">
        <v>1</v>
      </c>
      <c r="E30" s="88">
        <v>1</v>
      </c>
      <c r="F30" s="88">
        <v>1</v>
      </c>
      <c r="G30" s="88">
        <v>1</v>
      </c>
      <c r="H30" s="88">
        <v>1</v>
      </c>
    </row>
    <row r="31" spans="1:8" x14ac:dyDescent="0.25">
      <c r="B31" s="103" t="s">
        <v>98</v>
      </c>
      <c r="C31" s="8" t="s">
        <v>153</v>
      </c>
      <c r="D31" s="88">
        <v>1</v>
      </c>
      <c r="E31" s="88">
        <v>1</v>
      </c>
      <c r="F31" s="88">
        <v>1</v>
      </c>
      <c r="G31" s="88">
        <v>1</v>
      </c>
      <c r="H31" s="88">
        <v>1</v>
      </c>
    </row>
    <row r="32" spans="1:8" x14ac:dyDescent="0.25">
      <c r="B32" s="104"/>
      <c r="C32" s="8" t="s">
        <v>154</v>
      </c>
      <c r="D32" s="88">
        <v>1</v>
      </c>
      <c r="E32" s="88">
        <v>1</v>
      </c>
      <c r="F32" s="88">
        <v>1</v>
      </c>
      <c r="G32" s="88">
        <v>1</v>
      </c>
      <c r="H32" s="88">
        <v>1</v>
      </c>
    </row>
    <row r="33" spans="1:8" x14ac:dyDescent="0.25">
      <c r="B33" s="104"/>
      <c r="C33" s="8" t="s">
        <v>155</v>
      </c>
      <c r="D33" s="88">
        <v>1</v>
      </c>
      <c r="E33" s="88">
        <v>1</v>
      </c>
      <c r="F33" s="88">
        <v>1</v>
      </c>
      <c r="G33" s="88">
        <v>1</v>
      </c>
      <c r="H33" s="88">
        <v>1</v>
      </c>
    </row>
    <row r="34" spans="1:8" ht="13" customHeight="1" x14ac:dyDescent="0.25">
      <c r="B34" s="65" t="s">
        <v>156</v>
      </c>
      <c r="C34" s="8" t="s">
        <v>155</v>
      </c>
      <c r="D34" s="88">
        <v>1</v>
      </c>
      <c r="E34" s="88">
        <v>1</v>
      </c>
      <c r="F34" s="88">
        <v>1</v>
      </c>
      <c r="G34" s="88">
        <v>1</v>
      </c>
      <c r="H34" s="88">
        <v>1</v>
      </c>
    </row>
    <row r="35" spans="1:8" x14ac:dyDescent="0.25">
      <c r="D35" s="86"/>
      <c r="E35" s="86"/>
      <c r="F35" s="86"/>
      <c r="G35" s="86"/>
      <c r="H35" s="86"/>
    </row>
    <row r="36" spans="1:8" ht="13" customHeight="1" x14ac:dyDescent="0.3">
      <c r="A36" s="66" t="s">
        <v>234</v>
      </c>
      <c r="B36" s="103" t="s">
        <v>100</v>
      </c>
      <c r="C36" s="8" t="s">
        <v>153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5">
      <c r="B37" s="104"/>
      <c r="C37" s="8" t="s">
        <v>154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5">
      <c r="B38" s="104"/>
      <c r="C38" s="8" t="s">
        <v>155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5">
      <c r="B39" s="103" t="s">
        <v>109</v>
      </c>
      <c r="C39" s="8" t="s">
        <v>153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5">
      <c r="B40" s="104"/>
      <c r="C40" s="8" t="s">
        <v>154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5">
      <c r="B41" s="104"/>
      <c r="C41" s="8" t="s">
        <v>155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5">
      <c r="B42" s="103" t="s">
        <v>96</v>
      </c>
      <c r="C42" s="8" t="s">
        <v>153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5">
      <c r="B43" s="104"/>
      <c r="C43" s="8" t="s">
        <v>154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5">
      <c r="B44" s="104"/>
      <c r="C44" s="8" t="s">
        <v>155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5">
      <c r="B45" s="103" t="s">
        <v>97</v>
      </c>
      <c r="C45" s="8" t="s">
        <v>153</v>
      </c>
      <c r="D45" s="88">
        <v>1</v>
      </c>
      <c r="E45" s="88">
        <v>1</v>
      </c>
      <c r="F45" s="88">
        <v>1</v>
      </c>
      <c r="G45" s="88">
        <v>1</v>
      </c>
      <c r="H45" s="88">
        <v>1</v>
      </c>
    </row>
    <row r="46" spans="1:8" x14ac:dyDescent="0.25">
      <c r="B46" s="104"/>
      <c r="C46" s="8" t="s">
        <v>154</v>
      </c>
      <c r="D46" s="88">
        <v>1</v>
      </c>
      <c r="E46" s="88">
        <v>1</v>
      </c>
      <c r="F46" s="88">
        <v>1</v>
      </c>
      <c r="G46" s="88">
        <v>1</v>
      </c>
      <c r="H46" s="88">
        <v>1</v>
      </c>
    </row>
    <row r="47" spans="1:8" x14ac:dyDescent="0.25">
      <c r="B47" s="104"/>
      <c r="C47" s="8" t="s">
        <v>155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5">
      <c r="B48" s="103" t="s">
        <v>98</v>
      </c>
      <c r="C48" s="8" t="s">
        <v>153</v>
      </c>
      <c r="D48" s="88">
        <v>1</v>
      </c>
      <c r="E48" s="88">
        <v>1</v>
      </c>
      <c r="F48" s="88">
        <v>1</v>
      </c>
      <c r="G48" s="88">
        <v>1</v>
      </c>
      <c r="H48" s="88">
        <v>1</v>
      </c>
    </row>
    <row r="49" spans="1:8" x14ac:dyDescent="0.25">
      <c r="B49" s="104"/>
      <c r="C49" s="8" t="s">
        <v>154</v>
      </c>
      <c r="D49" s="88">
        <v>1</v>
      </c>
      <c r="E49" s="88">
        <v>1</v>
      </c>
      <c r="F49" s="88">
        <v>1</v>
      </c>
      <c r="G49" s="88">
        <v>1</v>
      </c>
      <c r="H49" s="88">
        <v>1</v>
      </c>
    </row>
    <row r="50" spans="1:8" x14ac:dyDescent="0.25">
      <c r="B50" s="104"/>
      <c r="C50" s="8" t="s">
        <v>155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ht="13" customHeight="1" x14ac:dyDescent="0.25">
      <c r="B51" s="65" t="s">
        <v>156</v>
      </c>
      <c r="C51" s="8" t="s">
        <v>155</v>
      </c>
      <c r="D51" s="88">
        <v>1</v>
      </c>
      <c r="E51" s="88">
        <v>1</v>
      </c>
      <c r="F51" s="88">
        <v>1</v>
      </c>
      <c r="G51" s="88">
        <v>1</v>
      </c>
      <c r="H51" s="88">
        <v>1</v>
      </c>
    </row>
    <row r="53" spans="1:8" ht="13" customHeight="1" x14ac:dyDescent="0.3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ht="13" customHeight="1" x14ac:dyDescent="0.3">
      <c r="A54" s="4" t="s">
        <v>231</v>
      </c>
      <c r="B54" s="4" t="s">
        <v>152</v>
      </c>
      <c r="C54" s="4" t="s">
        <v>164</v>
      </c>
      <c r="D54" s="4" t="s">
        <v>109</v>
      </c>
      <c r="E54" s="4" t="s">
        <v>96</v>
      </c>
      <c r="F54" s="4" t="s">
        <v>97</v>
      </c>
      <c r="G54" s="4" t="s">
        <v>98</v>
      </c>
      <c r="H54" s="4" t="s">
        <v>99</v>
      </c>
    </row>
    <row r="55" spans="1:8" ht="13" customHeight="1" x14ac:dyDescent="0.3">
      <c r="A55" s="4" t="s">
        <v>236</v>
      </c>
      <c r="B55" s="103" t="s">
        <v>100</v>
      </c>
      <c r="C55" s="8" t="s">
        <v>153</v>
      </c>
      <c r="D55" s="88">
        <f t="shared" ref="D55:H57" si="0">IF(D2=1,1,D2*0.9)</f>
        <v>1</v>
      </c>
      <c r="E55" s="88">
        <f t="shared" si="0"/>
        <v>1</v>
      </c>
      <c r="F55" s="88">
        <f t="shared" si="0"/>
        <v>1</v>
      </c>
      <c r="G55" s="88">
        <f t="shared" si="0"/>
        <v>1</v>
      </c>
      <c r="H55" s="88">
        <f t="shared" si="0"/>
        <v>1</v>
      </c>
    </row>
    <row r="56" spans="1:8" x14ac:dyDescent="0.25">
      <c r="B56" s="104"/>
      <c r="C56" s="8" t="s">
        <v>154</v>
      </c>
      <c r="D56" s="88">
        <f t="shared" si="0"/>
        <v>1</v>
      </c>
      <c r="E56" s="88">
        <f t="shared" si="0"/>
        <v>1</v>
      </c>
      <c r="F56" s="88">
        <f t="shared" si="0"/>
        <v>1</v>
      </c>
      <c r="G56" s="88">
        <f t="shared" si="0"/>
        <v>1</v>
      </c>
      <c r="H56" s="88">
        <f t="shared" si="0"/>
        <v>1</v>
      </c>
    </row>
    <row r="57" spans="1:8" x14ac:dyDescent="0.25">
      <c r="B57" s="104"/>
      <c r="C57" s="8" t="s">
        <v>155</v>
      </c>
      <c r="D57" s="88">
        <f t="shared" si="0"/>
        <v>1</v>
      </c>
      <c r="E57" s="88">
        <f t="shared" si="0"/>
        <v>1</v>
      </c>
      <c r="F57" s="88">
        <f t="shared" si="0"/>
        <v>1</v>
      </c>
      <c r="G57" s="88">
        <f t="shared" si="0"/>
        <v>1</v>
      </c>
      <c r="H57" s="88">
        <f t="shared" si="0"/>
        <v>1</v>
      </c>
    </row>
    <row r="58" spans="1:8" x14ac:dyDescent="0.25">
      <c r="B58" s="103" t="s">
        <v>109</v>
      </c>
      <c r="C58" s="8" t="s">
        <v>153</v>
      </c>
      <c r="D58" s="88">
        <f>IFERROR((MIN(1,1.37*'Dist. l''allaitement maternel'!$C$2)/(1-MIN(1,1.37*'Dist. l''allaitement maternel'!$C$2))) /
('Dist. l''allaitement maternel'!$C$2/(1-'Dist. l''allaitement maternel'!$C$2)), 1.37)</f>
        <v>1.9856529842848847</v>
      </c>
      <c r="E58" s="88">
        <f t="shared" ref="E58:H60" si="1">IF(E5=1,1,E5*0.9)</f>
        <v>1</v>
      </c>
      <c r="F58" s="88">
        <f t="shared" si="1"/>
        <v>1</v>
      </c>
      <c r="G58" s="88">
        <f t="shared" si="1"/>
        <v>1</v>
      </c>
      <c r="H58" s="88">
        <f t="shared" si="1"/>
        <v>1</v>
      </c>
    </row>
    <row r="59" spans="1:8" x14ac:dyDescent="0.25">
      <c r="B59" s="104"/>
      <c r="C59" s="8" t="s">
        <v>154</v>
      </c>
      <c r="D59" s="88">
        <f>IFERROR((MIN(1,1.37*'Dist. l''allaitement maternel'!$C$2)/(1-MIN(1,1.37*'Dist. l''allaitement maternel'!$C$2))) /
('Dist. l''allaitement maternel'!$C$2/(1-'Dist. l''allaitement maternel'!$C$2)), 1.37)</f>
        <v>1.9856529842848847</v>
      </c>
      <c r="E59" s="88">
        <f t="shared" si="1"/>
        <v>1</v>
      </c>
      <c r="F59" s="88">
        <f t="shared" si="1"/>
        <v>1</v>
      </c>
      <c r="G59" s="88">
        <f t="shared" si="1"/>
        <v>1</v>
      </c>
      <c r="H59" s="88">
        <f t="shared" si="1"/>
        <v>1</v>
      </c>
    </row>
    <row r="60" spans="1:8" x14ac:dyDescent="0.25">
      <c r="B60" s="104"/>
      <c r="C60" s="8" t="s">
        <v>155</v>
      </c>
      <c r="D60" s="88">
        <f t="shared" ref="D60:D70" si="2">IF(D7=1,1,D7*0.9)</f>
        <v>1</v>
      </c>
      <c r="E60" s="88">
        <f t="shared" si="1"/>
        <v>1</v>
      </c>
      <c r="F60" s="88">
        <f t="shared" si="1"/>
        <v>1</v>
      </c>
      <c r="G60" s="88">
        <f t="shared" si="1"/>
        <v>1</v>
      </c>
      <c r="H60" s="88">
        <f t="shared" si="1"/>
        <v>1</v>
      </c>
    </row>
    <row r="61" spans="1:8" x14ac:dyDescent="0.25">
      <c r="B61" s="103" t="s">
        <v>96</v>
      </c>
      <c r="C61" s="8" t="s">
        <v>153</v>
      </c>
      <c r="D61" s="88">
        <f t="shared" si="2"/>
        <v>1</v>
      </c>
      <c r="E61" s="88">
        <f>IFERROR((MIN(1,1.37*'Dist. l''allaitement maternel'!$D$2)/(1-MIN(1,1.37*'Dist. l''allaitement maternel'!$D$2))) /
('Dist. l''allaitement maternel'!$D$2/(1-'Dist. l''allaitement maternel'!$D$2)), 1.37)</f>
        <v>1.6015129814865112</v>
      </c>
      <c r="F61" s="88">
        <f t="shared" ref="F61:H63" si="3">IF(F8=1,1,F8*0.9)</f>
        <v>1</v>
      </c>
      <c r="G61" s="88">
        <f t="shared" si="3"/>
        <v>1</v>
      </c>
      <c r="H61" s="88">
        <f t="shared" si="3"/>
        <v>1</v>
      </c>
    </row>
    <row r="62" spans="1:8" x14ac:dyDescent="0.25">
      <c r="B62" s="104"/>
      <c r="C62" s="8" t="s">
        <v>154</v>
      </c>
      <c r="D62" s="88">
        <f t="shared" si="2"/>
        <v>1</v>
      </c>
      <c r="E62" s="88">
        <f>IFERROR((MIN(1,1.37*'Dist. l''allaitement maternel'!$D$2)/(1-MIN(1,1.37*'Dist. l''allaitement maternel'!$D$2))) /
('Dist. l''allaitement maternel'!$D$2/(1-'Dist. l''allaitement maternel'!$D$2)), 1.37)</f>
        <v>1.6015129814865112</v>
      </c>
      <c r="F62" s="88">
        <f t="shared" si="3"/>
        <v>1</v>
      </c>
      <c r="G62" s="88">
        <f t="shared" si="3"/>
        <v>1</v>
      </c>
      <c r="H62" s="88">
        <f t="shared" si="3"/>
        <v>1</v>
      </c>
    </row>
    <row r="63" spans="1:8" x14ac:dyDescent="0.25">
      <c r="B63" s="104"/>
      <c r="C63" s="8" t="s">
        <v>155</v>
      </c>
      <c r="D63" s="88">
        <f t="shared" si="2"/>
        <v>1</v>
      </c>
      <c r="E63" s="88">
        <f t="shared" ref="E63:E70" si="4">IF(E10=1,1,E10*0.9)</f>
        <v>1</v>
      </c>
      <c r="F63" s="88">
        <f t="shared" si="3"/>
        <v>1</v>
      </c>
      <c r="G63" s="88">
        <f t="shared" si="3"/>
        <v>1</v>
      </c>
      <c r="H63" s="88">
        <f t="shared" si="3"/>
        <v>1</v>
      </c>
    </row>
    <row r="64" spans="1:8" x14ac:dyDescent="0.25">
      <c r="B64" s="103" t="s">
        <v>97</v>
      </c>
      <c r="C64" s="8" t="s">
        <v>153</v>
      </c>
      <c r="D64" s="88">
        <f t="shared" si="2"/>
        <v>1</v>
      </c>
      <c r="E64" s="88">
        <f t="shared" si="4"/>
        <v>1</v>
      </c>
      <c r="F64" s="88">
        <v>1.35</v>
      </c>
      <c r="G64" s="88">
        <f t="shared" ref="G64:H66" si="5">IF(G11=1,1,G11*0.9)</f>
        <v>1</v>
      </c>
      <c r="H64" s="88">
        <f t="shared" si="5"/>
        <v>1</v>
      </c>
    </row>
    <row r="65" spans="1:8" x14ac:dyDescent="0.25">
      <c r="B65" s="104"/>
      <c r="C65" s="8" t="s">
        <v>154</v>
      </c>
      <c r="D65" s="88">
        <f t="shared" si="2"/>
        <v>1</v>
      </c>
      <c r="E65" s="88">
        <f t="shared" si="4"/>
        <v>1</v>
      </c>
      <c r="F65" s="88">
        <v>1.35</v>
      </c>
      <c r="G65" s="88">
        <f t="shared" si="5"/>
        <v>1</v>
      </c>
      <c r="H65" s="88">
        <f t="shared" si="5"/>
        <v>1</v>
      </c>
    </row>
    <row r="66" spans="1:8" x14ac:dyDescent="0.25">
      <c r="B66" s="104"/>
      <c r="C66" s="8" t="s">
        <v>155</v>
      </c>
      <c r="D66" s="88">
        <f t="shared" si="2"/>
        <v>1</v>
      </c>
      <c r="E66" s="88">
        <f t="shared" si="4"/>
        <v>1</v>
      </c>
      <c r="F66" s="88">
        <f>IF(F13=1,1,F13*0.9)</f>
        <v>1</v>
      </c>
      <c r="G66" s="88">
        <f t="shared" si="5"/>
        <v>1</v>
      </c>
      <c r="H66" s="88">
        <f t="shared" si="5"/>
        <v>1</v>
      </c>
    </row>
    <row r="67" spans="1:8" x14ac:dyDescent="0.25">
      <c r="B67" s="103" t="s">
        <v>98</v>
      </c>
      <c r="C67" s="8" t="s">
        <v>153</v>
      </c>
      <c r="D67" s="88">
        <f t="shared" si="2"/>
        <v>1</v>
      </c>
      <c r="E67" s="88">
        <f t="shared" si="4"/>
        <v>1</v>
      </c>
      <c r="F67" s="88">
        <f>IF(F14=1,1,F14*0.9)</f>
        <v>1</v>
      </c>
      <c r="G67" s="88">
        <v>1.35</v>
      </c>
      <c r="H67" s="88">
        <f>IF(H14=1,1,H14*0.9)</f>
        <v>1</v>
      </c>
    </row>
    <row r="68" spans="1:8" x14ac:dyDescent="0.25">
      <c r="B68" s="104"/>
      <c r="C68" s="8" t="s">
        <v>154</v>
      </c>
      <c r="D68" s="88">
        <f t="shared" si="2"/>
        <v>1</v>
      </c>
      <c r="E68" s="88">
        <f t="shared" si="4"/>
        <v>1</v>
      </c>
      <c r="F68" s="88">
        <f>IF(F15=1,1,F15*0.9)</f>
        <v>1</v>
      </c>
      <c r="G68" s="88">
        <v>1.35</v>
      </c>
      <c r="H68" s="88">
        <f>IF(H15=1,1,H15*0.9)</f>
        <v>1</v>
      </c>
    </row>
    <row r="69" spans="1:8" x14ac:dyDescent="0.25">
      <c r="B69" s="104"/>
      <c r="C69" s="8" t="s">
        <v>155</v>
      </c>
      <c r="D69" s="88">
        <f t="shared" si="2"/>
        <v>1</v>
      </c>
      <c r="E69" s="88">
        <f t="shared" si="4"/>
        <v>1</v>
      </c>
      <c r="F69" s="88">
        <f>IF(F16=1,1,F16*0.9)</f>
        <v>1</v>
      </c>
      <c r="G69" s="88">
        <f>IF(G16=1,1,G16*0.9)</f>
        <v>1</v>
      </c>
      <c r="H69" s="88">
        <f>IF(H16=1,1,H16*0.9)</f>
        <v>1</v>
      </c>
    </row>
    <row r="70" spans="1:8" ht="13" customHeight="1" x14ac:dyDescent="0.25">
      <c r="B70" s="65" t="s">
        <v>156</v>
      </c>
      <c r="C70" s="8" t="s">
        <v>155</v>
      </c>
      <c r="D70" s="88">
        <f t="shared" si="2"/>
        <v>0.94500000000000006</v>
      </c>
      <c r="E70" s="88">
        <f t="shared" si="4"/>
        <v>0.94500000000000006</v>
      </c>
      <c r="F70" s="88">
        <f>IF(F17=1,1,F17*0.9)</f>
        <v>0.94500000000000006</v>
      </c>
      <c r="G70" s="88">
        <f>IF(G17=1,1,G17*0.9)</f>
        <v>0.94500000000000006</v>
      </c>
      <c r="H70" s="88">
        <f>IF(H17=1,1,H17*0.9)</f>
        <v>1</v>
      </c>
    </row>
    <row r="71" spans="1:8" x14ac:dyDescent="0.25">
      <c r="D71" s="86"/>
      <c r="E71" s="86"/>
      <c r="F71" s="86"/>
      <c r="G71" s="86"/>
      <c r="H71" s="86"/>
    </row>
    <row r="72" spans="1:8" ht="13" customHeight="1" x14ac:dyDescent="0.3">
      <c r="A72" s="4" t="s">
        <v>237</v>
      </c>
      <c r="B72" s="103" t="s">
        <v>100</v>
      </c>
      <c r="C72" s="8" t="s">
        <v>153</v>
      </c>
      <c r="D72" s="88">
        <f t="shared" ref="D72:H81" si="6">IF(D19=1,1,D19*0.9)</f>
        <v>1</v>
      </c>
      <c r="E72" s="88">
        <f t="shared" si="6"/>
        <v>1</v>
      </c>
      <c r="F72" s="88">
        <f t="shared" si="6"/>
        <v>1</v>
      </c>
      <c r="G72" s="88">
        <f t="shared" si="6"/>
        <v>1</v>
      </c>
      <c r="H72" s="88">
        <f t="shared" si="6"/>
        <v>1</v>
      </c>
    </row>
    <row r="73" spans="1:8" x14ac:dyDescent="0.25">
      <c r="B73" s="104"/>
      <c r="C73" s="8" t="s">
        <v>154</v>
      </c>
      <c r="D73" s="88">
        <f t="shared" si="6"/>
        <v>1</v>
      </c>
      <c r="E73" s="88">
        <f t="shared" si="6"/>
        <v>1</v>
      </c>
      <c r="F73" s="88">
        <f t="shared" si="6"/>
        <v>1</v>
      </c>
      <c r="G73" s="88">
        <f t="shared" si="6"/>
        <v>1</v>
      </c>
      <c r="H73" s="88">
        <f t="shared" si="6"/>
        <v>1</v>
      </c>
    </row>
    <row r="74" spans="1:8" x14ac:dyDescent="0.25">
      <c r="B74" s="104"/>
      <c r="C74" s="8" t="s">
        <v>155</v>
      </c>
      <c r="D74" s="88">
        <f t="shared" si="6"/>
        <v>1</v>
      </c>
      <c r="E74" s="88">
        <f t="shared" si="6"/>
        <v>1</v>
      </c>
      <c r="F74" s="88">
        <f t="shared" si="6"/>
        <v>1</v>
      </c>
      <c r="G74" s="88">
        <f t="shared" si="6"/>
        <v>1</v>
      </c>
      <c r="H74" s="88">
        <f t="shared" si="6"/>
        <v>1</v>
      </c>
    </row>
    <row r="75" spans="1:8" x14ac:dyDescent="0.25">
      <c r="B75" s="103" t="s">
        <v>109</v>
      </c>
      <c r="C75" s="8" t="s">
        <v>153</v>
      </c>
      <c r="D75" s="88">
        <f t="shared" si="6"/>
        <v>1</v>
      </c>
      <c r="E75" s="88">
        <f t="shared" si="6"/>
        <v>1</v>
      </c>
      <c r="F75" s="88">
        <f t="shared" si="6"/>
        <v>1</v>
      </c>
      <c r="G75" s="88">
        <f t="shared" si="6"/>
        <v>1</v>
      </c>
      <c r="H75" s="88">
        <f t="shared" si="6"/>
        <v>1</v>
      </c>
    </row>
    <row r="76" spans="1:8" x14ac:dyDescent="0.25">
      <c r="B76" s="104"/>
      <c r="C76" s="8" t="s">
        <v>154</v>
      </c>
      <c r="D76" s="88">
        <f t="shared" si="6"/>
        <v>1</v>
      </c>
      <c r="E76" s="88">
        <f t="shared" si="6"/>
        <v>1</v>
      </c>
      <c r="F76" s="88">
        <f t="shared" si="6"/>
        <v>1</v>
      </c>
      <c r="G76" s="88">
        <f t="shared" si="6"/>
        <v>1</v>
      </c>
      <c r="H76" s="88">
        <f t="shared" si="6"/>
        <v>1</v>
      </c>
    </row>
    <row r="77" spans="1:8" x14ac:dyDescent="0.25">
      <c r="B77" s="104"/>
      <c r="C77" s="8" t="s">
        <v>155</v>
      </c>
      <c r="D77" s="88">
        <f t="shared" si="6"/>
        <v>1</v>
      </c>
      <c r="E77" s="88">
        <f t="shared" si="6"/>
        <v>1</v>
      </c>
      <c r="F77" s="88">
        <f t="shared" si="6"/>
        <v>1</v>
      </c>
      <c r="G77" s="88">
        <f t="shared" si="6"/>
        <v>1</v>
      </c>
      <c r="H77" s="88">
        <f t="shared" si="6"/>
        <v>1</v>
      </c>
    </row>
    <row r="78" spans="1:8" x14ac:dyDescent="0.25">
      <c r="B78" s="103" t="s">
        <v>96</v>
      </c>
      <c r="C78" s="8" t="s">
        <v>153</v>
      </c>
      <c r="D78" s="88">
        <f t="shared" si="6"/>
        <v>1</v>
      </c>
      <c r="E78" s="88">
        <f t="shared" si="6"/>
        <v>1</v>
      </c>
      <c r="F78" s="88">
        <f t="shared" si="6"/>
        <v>1</v>
      </c>
      <c r="G78" s="88">
        <f t="shared" si="6"/>
        <v>1</v>
      </c>
      <c r="H78" s="88">
        <f t="shared" si="6"/>
        <v>1</v>
      </c>
    </row>
    <row r="79" spans="1:8" x14ac:dyDescent="0.25">
      <c r="B79" s="104"/>
      <c r="C79" s="8" t="s">
        <v>154</v>
      </c>
      <c r="D79" s="88">
        <f t="shared" si="6"/>
        <v>1</v>
      </c>
      <c r="E79" s="88">
        <f t="shared" si="6"/>
        <v>1</v>
      </c>
      <c r="F79" s="88">
        <f t="shared" si="6"/>
        <v>1</v>
      </c>
      <c r="G79" s="88">
        <f t="shared" si="6"/>
        <v>1</v>
      </c>
      <c r="H79" s="88">
        <f t="shared" si="6"/>
        <v>1</v>
      </c>
    </row>
    <row r="80" spans="1:8" x14ac:dyDescent="0.25">
      <c r="B80" s="104"/>
      <c r="C80" s="8" t="s">
        <v>155</v>
      </c>
      <c r="D80" s="88">
        <f t="shared" si="6"/>
        <v>1</v>
      </c>
      <c r="E80" s="88">
        <f t="shared" si="6"/>
        <v>1</v>
      </c>
      <c r="F80" s="88">
        <f t="shared" si="6"/>
        <v>1</v>
      </c>
      <c r="G80" s="88">
        <f t="shared" si="6"/>
        <v>1</v>
      </c>
      <c r="H80" s="88">
        <f t="shared" si="6"/>
        <v>1</v>
      </c>
    </row>
    <row r="81" spans="1:8" x14ac:dyDescent="0.25">
      <c r="B81" s="103" t="s">
        <v>97</v>
      </c>
      <c r="C81" s="8" t="s">
        <v>153</v>
      </c>
      <c r="D81" s="88">
        <f t="shared" si="6"/>
        <v>1</v>
      </c>
      <c r="E81" s="88">
        <f t="shared" si="6"/>
        <v>1</v>
      </c>
      <c r="F81" s="88">
        <f t="shared" si="6"/>
        <v>1</v>
      </c>
      <c r="G81" s="88">
        <f t="shared" si="6"/>
        <v>1</v>
      </c>
      <c r="H81" s="88">
        <f t="shared" si="6"/>
        <v>1</v>
      </c>
    </row>
    <row r="82" spans="1:8" x14ac:dyDescent="0.25">
      <c r="B82" s="104"/>
      <c r="C82" s="8" t="s">
        <v>154</v>
      </c>
      <c r="D82" s="88">
        <f t="shared" ref="D82:H87" si="7">IF(D29=1,1,D29*0.9)</f>
        <v>1</v>
      </c>
      <c r="E82" s="88">
        <f t="shared" si="7"/>
        <v>1</v>
      </c>
      <c r="F82" s="88">
        <f t="shared" si="7"/>
        <v>1</v>
      </c>
      <c r="G82" s="88">
        <f t="shared" si="7"/>
        <v>1</v>
      </c>
      <c r="H82" s="88">
        <f t="shared" si="7"/>
        <v>1</v>
      </c>
    </row>
    <row r="83" spans="1:8" x14ac:dyDescent="0.25">
      <c r="B83" s="104"/>
      <c r="C83" s="8" t="s">
        <v>155</v>
      </c>
      <c r="D83" s="88">
        <f t="shared" si="7"/>
        <v>1</v>
      </c>
      <c r="E83" s="88">
        <f t="shared" si="7"/>
        <v>1</v>
      </c>
      <c r="F83" s="88">
        <f t="shared" si="7"/>
        <v>1</v>
      </c>
      <c r="G83" s="88">
        <f t="shared" si="7"/>
        <v>1</v>
      </c>
      <c r="H83" s="88">
        <f t="shared" si="7"/>
        <v>1</v>
      </c>
    </row>
    <row r="84" spans="1:8" x14ac:dyDescent="0.25">
      <c r="B84" s="103" t="s">
        <v>98</v>
      </c>
      <c r="C84" s="8" t="s">
        <v>153</v>
      </c>
      <c r="D84" s="88">
        <f t="shared" si="7"/>
        <v>1</v>
      </c>
      <c r="E84" s="88">
        <f t="shared" si="7"/>
        <v>1</v>
      </c>
      <c r="F84" s="88">
        <f t="shared" si="7"/>
        <v>1</v>
      </c>
      <c r="G84" s="88">
        <f t="shared" si="7"/>
        <v>1</v>
      </c>
      <c r="H84" s="88">
        <f t="shared" si="7"/>
        <v>1</v>
      </c>
    </row>
    <row r="85" spans="1:8" x14ac:dyDescent="0.25">
      <c r="B85" s="104"/>
      <c r="C85" s="8" t="s">
        <v>154</v>
      </c>
      <c r="D85" s="88">
        <f t="shared" si="7"/>
        <v>1</v>
      </c>
      <c r="E85" s="88">
        <f t="shared" si="7"/>
        <v>1</v>
      </c>
      <c r="F85" s="88">
        <f t="shared" si="7"/>
        <v>1</v>
      </c>
      <c r="G85" s="88">
        <f t="shared" si="7"/>
        <v>1</v>
      </c>
      <c r="H85" s="88">
        <f t="shared" si="7"/>
        <v>1</v>
      </c>
    </row>
    <row r="86" spans="1:8" x14ac:dyDescent="0.25">
      <c r="B86" s="104"/>
      <c r="C86" s="8" t="s">
        <v>155</v>
      </c>
      <c r="D86" s="88">
        <f t="shared" si="7"/>
        <v>1</v>
      </c>
      <c r="E86" s="88">
        <f t="shared" si="7"/>
        <v>1</v>
      </c>
      <c r="F86" s="88">
        <f t="shared" si="7"/>
        <v>1</v>
      </c>
      <c r="G86" s="88">
        <f t="shared" si="7"/>
        <v>1</v>
      </c>
      <c r="H86" s="88">
        <f t="shared" si="7"/>
        <v>1</v>
      </c>
    </row>
    <row r="87" spans="1:8" ht="13" customHeight="1" x14ac:dyDescent="0.25">
      <c r="B87" s="65" t="s">
        <v>156</v>
      </c>
      <c r="C87" s="8" t="s">
        <v>155</v>
      </c>
      <c r="D87" s="88">
        <f t="shared" si="7"/>
        <v>1</v>
      </c>
      <c r="E87" s="88">
        <f t="shared" si="7"/>
        <v>1</v>
      </c>
      <c r="F87" s="88">
        <f t="shared" si="7"/>
        <v>1</v>
      </c>
      <c r="G87" s="88">
        <f t="shared" si="7"/>
        <v>1</v>
      </c>
      <c r="H87" s="88">
        <f t="shared" si="7"/>
        <v>1</v>
      </c>
    </row>
    <row r="88" spans="1:8" x14ac:dyDescent="0.25">
      <c r="D88" s="86"/>
      <c r="E88" s="86"/>
      <c r="F88" s="86"/>
      <c r="G88" s="86"/>
      <c r="H88" s="86"/>
    </row>
    <row r="89" spans="1:8" ht="13" customHeight="1" x14ac:dyDescent="0.3">
      <c r="A89" s="66" t="s">
        <v>238</v>
      </c>
      <c r="B89" s="103" t="s">
        <v>100</v>
      </c>
      <c r="C89" s="8" t="s">
        <v>153</v>
      </c>
      <c r="D89" s="88">
        <f t="shared" ref="D89:H98" si="8">IF(D36=1,1,D36*0.9)</f>
        <v>1</v>
      </c>
      <c r="E89" s="88">
        <f t="shared" si="8"/>
        <v>1</v>
      </c>
      <c r="F89" s="88">
        <f t="shared" si="8"/>
        <v>1</v>
      </c>
      <c r="G89" s="88">
        <f t="shared" si="8"/>
        <v>1</v>
      </c>
      <c r="H89" s="88">
        <f t="shared" si="8"/>
        <v>1</v>
      </c>
    </row>
    <row r="90" spans="1:8" x14ac:dyDescent="0.25">
      <c r="B90" s="104"/>
      <c r="C90" s="8" t="s">
        <v>154</v>
      </c>
      <c r="D90" s="88">
        <f t="shared" si="8"/>
        <v>1</v>
      </c>
      <c r="E90" s="88">
        <f t="shared" si="8"/>
        <v>1</v>
      </c>
      <c r="F90" s="88">
        <f t="shared" si="8"/>
        <v>1</v>
      </c>
      <c r="G90" s="88">
        <f t="shared" si="8"/>
        <v>1</v>
      </c>
      <c r="H90" s="88">
        <f t="shared" si="8"/>
        <v>1</v>
      </c>
    </row>
    <row r="91" spans="1:8" x14ac:dyDescent="0.25">
      <c r="B91" s="104"/>
      <c r="C91" s="8" t="s">
        <v>155</v>
      </c>
      <c r="D91" s="88">
        <f t="shared" si="8"/>
        <v>1</v>
      </c>
      <c r="E91" s="88">
        <f t="shared" si="8"/>
        <v>1</v>
      </c>
      <c r="F91" s="88">
        <f t="shared" si="8"/>
        <v>1</v>
      </c>
      <c r="G91" s="88">
        <f t="shared" si="8"/>
        <v>1</v>
      </c>
      <c r="H91" s="88">
        <f t="shared" si="8"/>
        <v>1</v>
      </c>
    </row>
    <row r="92" spans="1:8" x14ac:dyDescent="0.25">
      <c r="B92" s="103" t="s">
        <v>109</v>
      </c>
      <c r="C92" s="8" t="s">
        <v>153</v>
      </c>
      <c r="D92" s="88">
        <f t="shared" si="8"/>
        <v>1</v>
      </c>
      <c r="E92" s="88">
        <f t="shared" si="8"/>
        <v>1</v>
      </c>
      <c r="F92" s="88">
        <f t="shared" si="8"/>
        <v>1</v>
      </c>
      <c r="G92" s="88">
        <f t="shared" si="8"/>
        <v>1</v>
      </c>
      <c r="H92" s="88">
        <f t="shared" si="8"/>
        <v>1</v>
      </c>
    </row>
    <row r="93" spans="1:8" x14ac:dyDescent="0.25">
      <c r="B93" s="104"/>
      <c r="C93" s="8" t="s">
        <v>154</v>
      </c>
      <c r="D93" s="88">
        <f t="shared" si="8"/>
        <v>1</v>
      </c>
      <c r="E93" s="88">
        <f t="shared" si="8"/>
        <v>1</v>
      </c>
      <c r="F93" s="88">
        <f t="shared" si="8"/>
        <v>1</v>
      </c>
      <c r="G93" s="88">
        <f t="shared" si="8"/>
        <v>1</v>
      </c>
      <c r="H93" s="88">
        <f t="shared" si="8"/>
        <v>1</v>
      </c>
    </row>
    <row r="94" spans="1:8" x14ac:dyDescent="0.25">
      <c r="B94" s="104"/>
      <c r="C94" s="8" t="s">
        <v>155</v>
      </c>
      <c r="D94" s="88">
        <f t="shared" si="8"/>
        <v>1</v>
      </c>
      <c r="E94" s="88">
        <f t="shared" si="8"/>
        <v>1</v>
      </c>
      <c r="F94" s="88">
        <f t="shared" si="8"/>
        <v>1</v>
      </c>
      <c r="G94" s="88">
        <f t="shared" si="8"/>
        <v>1</v>
      </c>
      <c r="H94" s="88">
        <f t="shared" si="8"/>
        <v>1</v>
      </c>
    </row>
    <row r="95" spans="1:8" x14ac:dyDescent="0.25">
      <c r="B95" s="103" t="s">
        <v>96</v>
      </c>
      <c r="C95" s="8" t="s">
        <v>153</v>
      </c>
      <c r="D95" s="88">
        <f t="shared" si="8"/>
        <v>1</v>
      </c>
      <c r="E95" s="88">
        <f t="shared" si="8"/>
        <v>1</v>
      </c>
      <c r="F95" s="88">
        <f t="shared" si="8"/>
        <v>1</v>
      </c>
      <c r="G95" s="88">
        <f t="shared" si="8"/>
        <v>1</v>
      </c>
      <c r="H95" s="88">
        <f t="shared" si="8"/>
        <v>1</v>
      </c>
    </row>
    <row r="96" spans="1:8" x14ac:dyDescent="0.25">
      <c r="B96" s="104"/>
      <c r="C96" s="8" t="s">
        <v>154</v>
      </c>
      <c r="D96" s="88">
        <f t="shared" si="8"/>
        <v>1</v>
      </c>
      <c r="E96" s="88">
        <f t="shared" si="8"/>
        <v>1</v>
      </c>
      <c r="F96" s="88">
        <f t="shared" si="8"/>
        <v>1</v>
      </c>
      <c r="G96" s="88">
        <f t="shared" si="8"/>
        <v>1</v>
      </c>
      <c r="H96" s="88">
        <f t="shared" si="8"/>
        <v>1</v>
      </c>
    </row>
    <row r="97" spans="1:8" x14ac:dyDescent="0.25">
      <c r="B97" s="104"/>
      <c r="C97" s="8" t="s">
        <v>155</v>
      </c>
      <c r="D97" s="88">
        <f t="shared" si="8"/>
        <v>1</v>
      </c>
      <c r="E97" s="88">
        <f t="shared" si="8"/>
        <v>1</v>
      </c>
      <c r="F97" s="88">
        <f t="shared" si="8"/>
        <v>1</v>
      </c>
      <c r="G97" s="88">
        <f t="shared" si="8"/>
        <v>1</v>
      </c>
      <c r="H97" s="88">
        <f t="shared" si="8"/>
        <v>1</v>
      </c>
    </row>
    <row r="98" spans="1:8" x14ac:dyDescent="0.25">
      <c r="B98" s="103" t="s">
        <v>97</v>
      </c>
      <c r="C98" s="8" t="s">
        <v>153</v>
      </c>
      <c r="D98" s="88">
        <f t="shared" si="8"/>
        <v>1</v>
      </c>
      <c r="E98" s="88">
        <f t="shared" si="8"/>
        <v>1</v>
      </c>
      <c r="F98" s="88">
        <f t="shared" si="8"/>
        <v>1</v>
      </c>
      <c r="G98" s="88">
        <f t="shared" si="8"/>
        <v>1</v>
      </c>
      <c r="H98" s="88">
        <f t="shared" si="8"/>
        <v>1</v>
      </c>
    </row>
    <row r="99" spans="1:8" x14ac:dyDescent="0.25">
      <c r="B99" s="104"/>
      <c r="C99" s="8" t="s">
        <v>154</v>
      </c>
      <c r="D99" s="88">
        <f t="shared" ref="D99:H104" si="9">IF(D46=1,1,D46*0.9)</f>
        <v>1</v>
      </c>
      <c r="E99" s="88">
        <f t="shared" si="9"/>
        <v>1</v>
      </c>
      <c r="F99" s="88">
        <f t="shared" si="9"/>
        <v>1</v>
      </c>
      <c r="G99" s="88">
        <f t="shared" si="9"/>
        <v>1</v>
      </c>
      <c r="H99" s="88">
        <f t="shared" si="9"/>
        <v>1</v>
      </c>
    </row>
    <row r="100" spans="1:8" x14ac:dyDescent="0.25">
      <c r="B100" s="104"/>
      <c r="C100" s="8" t="s">
        <v>155</v>
      </c>
      <c r="D100" s="88">
        <f t="shared" si="9"/>
        <v>1</v>
      </c>
      <c r="E100" s="88">
        <f t="shared" si="9"/>
        <v>1</v>
      </c>
      <c r="F100" s="88">
        <f t="shared" si="9"/>
        <v>1</v>
      </c>
      <c r="G100" s="88">
        <f t="shared" si="9"/>
        <v>1</v>
      </c>
      <c r="H100" s="88">
        <f t="shared" si="9"/>
        <v>1</v>
      </c>
    </row>
    <row r="101" spans="1:8" x14ac:dyDescent="0.25">
      <c r="B101" s="103" t="s">
        <v>98</v>
      </c>
      <c r="C101" s="8" t="s">
        <v>153</v>
      </c>
      <c r="D101" s="88">
        <f t="shared" si="9"/>
        <v>1</v>
      </c>
      <c r="E101" s="88">
        <f t="shared" si="9"/>
        <v>1</v>
      </c>
      <c r="F101" s="88">
        <f t="shared" si="9"/>
        <v>1</v>
      </c>
      <c r="G101" s="88">
        <f t="shared" si="9"/>
        <v>1</v>
      </c>
      <c r="H101" s="88">
        <f t="shared" si="9"/>
        <v>1</v>
      </c>
    </row>
    <row r="102" spans="1:8" x14ac:dyDescent="0.25">
      <c r="B102" s="104"/>
      <c r="C102" s="8" t="s">
        <v>154</v>
      </c>
      <c r="D102" s="88">
        <f t="shared" si="9"/>
        <v>1</v>
      </c>
      <c r="E102" s="88">
        <f t="shared" si="9"/>
        <v>1</v>
      </c>
      <c r="F102" s="88">
        <f t="shared" si="9"/>
        <v>1</v>
      </c>
      <c r="G102" s="88">
        <f t="shared" si="9"/>
        <v>1</v>
      </c>
      <c r="H102" s="88">
        <f t="shared" si="9"/>
        <v>1</v>
      </c>
    </row>
    <row r="103" spans="1:8" x14ac:dyDescent="0.25">
      <c r="B103" s="104"/>
      <c r="C103" s="8" t="s">
        <v>155</v>
      </c>
      <c r="D103" s="88">
        <f t="shared" si="9"/>
        <v>1</v>
      </c>
      <c r="E103" s="88">
        <f t="shared" si="9"/>
        <v>1</v>
      </c>
      <c r="F103" s="88">
        <f t="shared" si="9"/>
        <v>1</v>
      </c>
      <c r="G103" s="88">
        <f t="shared" si="9"/>
        <v>1</v>
      </c>
      <c r="H103" s="88">
        <f t="shared" si="9"/>
        <v>1</v>
      </c>
    </row>
    <row r="104" spans="1:8" ht="13" customHeight="1" x14ac:dyDescent="0.25">
      <c r="B104" s="65" t="s">
        <v>156</v>
      </c>
      <c r="C104" s="8" t="s">
        <v>155</v>
      </c>
      <c r="D104" s="88">
        <f t="shared" si="9"/>
        <v>1</v>
      </c>
      <c r="E104" s="88">
        <f t="shared" si="9"/>
        <v>1</v>
      </c>
      <c r="F104" s="88">
        <f t="shared" si="9"/>
        <v>1</v>
      </c>
      <c r="G104" s="88">
        <f t="shared" si="9"/>
        <v>1</v>
      </c>
      <c r="H104" s="88">
        <f t="shared" si="9"/>
        <v>1</v>
      </c>
    </row>
    <row r="106" spans="1:8" ht="13" customHeight="1" x14ac:dyDescent="0.3">
      <c r="A106" s="92" t="s">
        <v>239</v>
      </c>
      <c r="B106" s="92"/>
      <c r="C106" s="92"/>
      <c r="D106" s="92"/>
      <c r="E106" s="92"/>
      <c r="F106" s="92"/>
      <c r="G106" s="92"/>
      <c r="H106" s="92"/>
    </row>
    <row r="107" spans="1:8" ht="13" customHeight="1" x14ac:dyDescent="0.3">
      <c r="A107" s="4" t="s">
        <v>231</v>
      </c>
      <c r="B107" s="4" t="s">
        <v>152</v>
      </c>
      <c r="C107" s="4" t="s">
        <v>164</v>
      </c>
      <c r="D107" s="4" t="s">
        <v>109</v>
      </c>
      <c r="E107" s="4" t="s">
        <v>96</v>
      </c>
      <c r="F107" s="4" t="s">
        <v>97</v>
      </c>
      <c r="G107" s="4" t="s">
        <v>98</v>
      </c>
      <c r="H107" s="4" t="s">
        <v>99</v>
      </c>
    </row>
    <row r="108" spans="1:8" ht="13" customHeight="1" x14ac:dyDescent="0.3">
      <c r="A108" s="4" t="s">
        <v>240</v>
      </c>
      <c r="B108" s="103" t="s">
        <v>100</v>
      </c>
      <c r="C108" s="8" t="s">
        <v>153</v>
      </c>
      <c r="D108" s="88">
        <f t="shared" ref="D108:H110" si="10">IF(D2=1,1,D2*1.05)</f>
        <v>1</v>
      </c>
      <c r="E108" s="88">
        <f t="shared" si="10"/>
        <v>1</v>
      </c>
      <c r="F108" s="88">
        <f t="shared" si="10"/>
        <v>1</v>
      </c>
      <c r="G108" s="88">
        <f t="shared" si="10"/>
        <v>1</v>
      </c>
      <c r="H108" s="88">
        <f t="shared" si="10"/>
        <v>1</v>
      </c>
    </row>
    <row r="109" spans="1:8" x14ac:dyDescent="0.25">
      <c r="B109" s="104"/>
      <c r="C109" s="8" t="s">
        <v>154</v>
      </c>
      <c r="D109" s="88">
        <f t="shared" si="10"/>
        <v>1</v>
      </c>
      <c r="E109" s="88">
        <f t="shared" si="10"/>
        <v>1</v>
      </c>
      <c r="F109" s="88">
        <f t="shared" si="10"/>
        <v>1</v>
      </c>
      <c r="G109" s="88">
        <f t="shared" si="10"/>
        <v>1</v>
      </c>
      <c r="H109" s="88">
        <f t="shared" si="10"/>
        <v>1</v>
      </c>
    </row>
    <row r="110" spans="1:8" x14ac:dyDescent="0.25">
      <c r="B110" s="104"/>
      <c r="C110" s="8" t="s">
        <v>155</v>
      </c>
      <c r="D110" s="88">
        <f t="shared" si="10"/>
        <v>1</v>
      </c>
      <c r="E110" s="88">
        <f t="shared" si="10"/>
        <v>1</v>
      </c>
      <c r="F110" s="88">
        <f t="shared" si="10"/>
        <v>1</v>
      </c>
      <c r="G110" s="88">
        <f t="shared" si="10"/>
        <v>1</v>
      </c>
      <c r="H110" s="88">
        <f t="shared" si="10"/>
        <v>1</v>
      </c>
    </row>
    <row r="111" spans="1:8" x14ac:dyDescent="0.25">
      <c r="B111" s="103" t="s">
        <v>109</v>
      </c>
      <c r="C111" s="8" t="s">
        <v>153</v>
      </c>
      <c r="D111" s="88">
        <f>IFERROR((MIN(1,1.77*'Dist. l''allaitement maternel'!$C$2)/(1-MIN(1,1.77*'Dist. l''allaitement maternel'!$C$2))) /
('Dist. l''allaitement maternel'!$C$2/(1-'Dist. l''allaitement maternel'!$C$2)), 1.77)</f>
        <v>4.9892959453666421</v>
      </c>
      <c r="E111" s="88">
        <f t="shared" ref="E111:H113" si="11">IF(E5=1,1,E5*1.05)</f>
        <v>1</v>
      </c>
      <c r="F111" s="88">
        <f t="shared" si="11"/>
        <v>1</v>
      </c>
      <c r="G111" s="88">
        <f t="shared" si="11"/>
        <v>1</v>
      </c>
      <c r="H111" s="88">
        <f t="shared" si="11"/>
        <v>1</v>
      </c>
    </row>
    <row r="112" spans="1:8" x14ac:dyDescent="0.25">
      <c r="B112" s="104"/>
      <c r="C112" s="8" t="s">
        <v>154</v>
      </c>
      <c r="D112" s="88">
        <f>IFERROR((MIN(1,1.77*'Dist. l''allaitement maternel'!$C$2)/(1-MIN(1,1.77*'Dist. l''allaitement maternel'!$C$2))) /
('Dist. l''allaitement maternel'!$C$2/(1-'Dist. l''allaitement maternel'!$C$2)), 1.77)</f>
        <v>4.9892959453666421</v>
      </c>
      <c r="E112" s="88">
        <f t="shared" si="11"/>
        <v>1</v>
      </c>
      <c r="F112" s="88">
        <f t="shared" si="11"/>
        <v>1</v>
      </c>
      <c r="G112" s="88">
        <f t="shared" si="11"/>
        <v>1</v>
      </c>
      <c r="H112" s="88">
        <f t="shared" si="11"/>
        <v>1</v>
      </c>
    </row>
    <row r="113" spans="1:8" x14ac:dyDescent="0.25">
      <c r="B113" s="104"/>
      <c r="C113" s="8" t="s">
        <v>155</v>
      </c>
      <c r="D113" s="88">
        <f t="shared" ref="D113:D123" si="12">IF(D7=1,1,D7*1.05)</f>
        <v>1</v>
      </c>
      <c r="E113" s="88">
        <f t="shared" si="11"/>
        <v>1</v>
      </c>
      <c r="F113" s="88">
        <f t="shared" si="11"/>
        <v>1</v>
      </c>
      <c r="G113" s="88">
        <f t="shared" si="11"/>
        <v>1</v>
      </c>
      <c r="H113" s="88">
        <f t="shared" si="11"/>
        <v>1</v>
      </c>
    </row>
    <row r="114" spans="1:8" x14ac:dyDescent="0.25">
      <c r="B114" s="103" t="s">
        <v>96</v>
      </c>
      <c r="C114" s="8" t="s">
        <v>153</v>
      </c>
      <c r="D114" s="88">
        <f t="shared" si="12"/>
        <v>1</v>
      </c>
      <c r="E114" s="88">
        <f>IFERROR((MIN(1,1.77*'Dist. l''allaitement maternel'!$D$2)/(1-MIN(1,1.77*'Dist. l''allaitement maternel'!$D$2))) /
('Dist. l''allaitement maternel'!$D$2/(1-'Dist. l''allaitement maternel'!$D$2)), 1.77)</f>
        <v>2.5316051102451174</v>
      </c>
      <c r="F114" s="88">
        <f t="shared" ref="F114:H116" si="13">IF(F8=1,1,F8*1.05)</f>
        <v>1</v>
      </c>
      <c r="G114" s="88">
        <f t="shared" si="13"/>
        <v>1</v>
      </c>
      <c r="H114" s="88">
        <f t="shared" si="13"/>
        <v>1</v>
      </c>
    </row>
    <row r="115" spans="1:8" x14ac:dyDescent="0.25">
      <c r="B115" s="104"/>
      <c r="C115" s="8" t="s">
        <v>154</v>
      </c>
      <c r="D115" s="88">
        <f t="shared" si="12"/>
        <v>1</v>
      </c>
      <c r="E115" s="88">
        <f>IFERROR((MIN(1,1.77*'Dist. l''allaitement maternel'!$D$2)/(1-MIN(1,1.77*'Dist. l''allaitement maternel'!$D$2))) /
('Dist. l''allaitement maternel'!$D$2/(1-'Dist. l''allaitement maternel'!$D$2)), 1.77)</f>
        <v>2.5316051102451174</v>
      </c>
      <c r="F115" s="88">
        <f t="shared" si="13"/>
        <v>1</v>
      </c>
      <c r="G115" s="88">
        <f t="shared" si="13"/>
        <v>1</v>
      </c>
      <c r="H115" s="88">
        <f t="shared" si="13"/>
        <v>1</v>
      </c>
    </row>
    <row r="116" spans="1:8" x14ac:dyDescent="0.25">
      <c r="B116" s="104"/>
      <c r="C116" s="8" t="s">
        <v>155</v>
      </c>
      <c r="D116" s="88">
        <f t="shared" si="12"/>
        <v>1</v>
      </c>
      <c r="E116" s="88">
        <f t="shared" ref="E116:E123" si="14">IF(E10=1,1,E10*1.05)</f>
        <v>1</v>
      </c>
      <c r="F116" s="88">
        <f t="shared" si="13"/>
        <v>1</v>
      </c>
      <c r="G116" s="88">
        <f t="shared" si="13"/>
        <v>1</v>
      </c>
      <c r="H116" s="88">
        <f t="shared" si="13"/>
        <v>1</v>
      </c>
    </row>
    <row r="117" spans="1:8" x14ac:dyDescent="0.25">
      <c r="B117" s="103" t="s">
        <v>97</v>
      </c>
      <c r="C117" s="8" t="s">
        <v>153</v>
      </c>
      <c r="D117" s="88">
        <f t="shared" si="12"/>
        <v>1</v>
      </c>
      <c r="E117" s="88">
        <f t="shared" si="14"/>
        <v>1</v>
      </c>
      <c r="F117" s="88">
        <v>2.11</v>
      </c>
      <c r="G117" s="88">
        <f t="shared" ref="G117:H119" si="15">IF(G11=1,1,G11*1.05)</f>
        <v>1</v>
      </c>
      <c r="H117" s="88">
        <f t="shared" si="15"/>
        <v>1</v>
      </c>
    </row>
    <row r="118" spans="1:8" x14ac:dyDescent="0.25">
      <c r="B118" s="104"/>
      <c r="C118" s="8" t="s">
        <v>154</v>
      </c>
      <c r="D118" s="88">
        <f t="shared" si="12"/>
        <v>1</v>
      </c>
      <c r="E118" s="88">
        <f t="shared" si="14"/>
        <v>1</v>
      </c>
      <c r="F118" s="88">
        <v>2.11</v>
      </c>
      <c r="G118" s="88">
        <f t="shared" si="15"/>
        <v>1</v>
      </c>
      <c r="H118" s="88">
        <f t="shared" si="15"/>
        <v>1</v>
      </c>
    </row>
    <row r="119" spans="1:8" x14ac:dyDescent="0.25">
      <c r="B119" s="104"/>
      <c r="C119" s="8" t="s">
        <v>155</v>
      </c>
      <c r="D119" s="88">
        <f t="shared" si="12"/>
        <v>1</v>
      </c>
      <c r="E119" s="88">
        <f t="shared" si="14"/>
        <v>1</v>
      </c>
      <c r="F119" s="88">
        <f>IF(F13=1,1,F13*1.05)</f>
        <v>1</v>
      </c>
      <c r="G119" s="88">
        <f t="shared" si="15"/>
        <v>1</v>
      </c>
      <c r="H119" s="88">
        <f t="shared" si="15"/>
        <v>1</v>
      </c>
    </row>
    <row r="120" spans="1:8" x14ac:dyDescent="0.25">
      <c r="B120" s="103" t="s">
        <v>98</v>
      </c>
      <c r="C120" s="8" t="s">
        <v>153</v>
      </c>
      <c r="D120" s="88">
        <f t="shared" si="12"/>
        <v>1</v>
      </c>
      <c r="E120" s="88">
        <f t="shared" si="14"/>
        <v>1</v>
      </c>
      <c r="F120" s="88">
        <f>IF(F14=1,1,F14*1.05)</f>
        <v>1</v>
      </c>
      <c r="G120" s="88">
        <v>2.11</v>
      </c>
      <c r="H120" s="88">
        <f>IF(H14=1,1,H14*1.05)</f>
        <v>1</v>
      </c>
    </row>
    <row r="121" spans="1:8" x14ac:dyDescent="0.25">
      <c r="B121" s="104"/>
      <c r="C121" s="8" t="s">
        <v>154</v>
      </c>
      <c r="D121" s="88">
        <f t="shared" si="12"/>
        <v>1</v>
      </c>
      <c r="E121" s="88">
        <f t="shared" si="14"/>
        <v>1</v>
      </c>
      <c r="F121" s="88">
        <f>IF(F15=1,1,F15*1.05)</f>
        <v>1</v>
      </c>
      <c r="G121" s="88">
        <v>2.11</v>
      </c>
      <c r="H121" s="88">
        <f>IF(H15=1,1,H15*1.05)</f>
        <v>1</v>
      </c>
    </row>
    <row r="122" spans="1:8" x14ac:dyDescent="0.25">
      <c r="B122" s="104"/>
      <c r="C122" s="8" t="s">
        <v>155</v>
      </c>
      <c r="D122" s="88">
        <f t="shared" si="12"/>
        <v>1</v>
      </c>
      <c r="E122" s="88">
        <f t="shared" si="14"/>
        <v>1</v>
      </c>
      <c r="F122" s="88">
        <f>IF(F16=1,1,F16*1.05)</f>
        <v>1</v>
      </c>
      <c r="G122" s="88">
        <f>IF(G16=1,1,G16*1.05)</f>
        <v>1</v>
      </c>
      <c r="H122" s="88">
        <f>IF(H16=1,1,H16*1.05)</f>
        <v>1</v>
      </c>
    </row>
    <row r="123" spans="1:8" ht="13" customHeight="1" x14ac:dyDescent="0.25">
      <c r="B123" s="65" t="s">
        <v>156</v>
      </c>
      <c r="C123" s="8" t="s">
        <v>155</v>
      </c>
      <c r="D123" s="88">
        <f t="shared" si="12"/>
        <v>1.1025</v>
      </c>
      <c r="E123" s="88">
        <f t="shared" si="14"/>
        <v>1.1025</v>
      </c>
      <c r="F123" s="88">
        <f>IF(F17=1,1,F17*1.05)</f>
        <v>1.1025</v>
      </c>
      <c r="G123" s="88">
        <f>IF(G17=1,1,G17*1.05)</f>
        <v>1.1025</v>
      </c>
      <c r="H123" s="88">
        <f>IF(H17=1,1,H17*1.05)</f>
        <v>1</v>
      </c>
    </row>
    <row r="124" spans="1:8" x14ac:dyDescent="0.25">
      <c r="D124" s="86"/>
      <c r="E124" s="86"/>
      <c r="F124" s="86"/>
      <c r="G124" s="86"/>
      <c r="H124" s="86"/>
    </row>
    <row r="125" spans="1:8" ht="13" customHeight="1" x14ac:dyDescent="0.3">
      <c r="A125" s="4" t="s">
        <v>241</v>
      </c>
      <c r="B125" s="103" t="s">
        <v>100</v>
      </c>
      <c r="C125" s="8" t="s">
        <v>153</v>
      </c>
      <c r="D125" s="88">
        <f t="shared" ref="D125:H134" si="16">IF(D19=1,1,D19*1.05)</f>
        <v>1</v>
      </c>
      <c r="E125" s="88">
        <f t="shared" si="16"/>
        <v>1</v>
      </c>
      <c r="F125" s="88">
        <f t="shared" si="16"/>
        <v>1</v>
      </c>
      <c r="G125" s="88">
        <f t="shared" si="16"/>
        <v>1</v>
      </c>
      <c r="H125" s="88">
        <f t="shared" si="16"/>
        <v>1</v>
      </c>
    </row>
    <row r="126" spans="1:8" x14ac:dyDescent="0.25">
      <c r="B126" s="104"/>
      <c r="C126" s="8" t="s">
        <v>154</v>
      </c>
      <c r="D126" s="88">
        <f t="shared" si="16"/>
        <v>1</v>
      </c>
      <c r="E126" s="88">
        <f t="shared" si="16"/>
        <v>1</v>
      </c>
      <c r="F126" s="88">
        <f t="shared" si="16"/>
        <v>1</v>
      </c>
      <c r="G126" s="88">
        <f t="shared" si="16"/>
        <v>1</v>
      </c>
      <c r="H126" s="88">
        <f t="shared" si="16"/>
        <v>1</v>
      </c>
    </row>
    <row r="127" spans="1:8" x14ac:dyDescent="0.25">
      <c r="B127" s="104"/>
      <c r="C127" s="8" t="s">
        <v>155</v>
      </c>
      <c r="D127" s="88">
        <f t="shared" si="16"/>
        <v>1</v>
      </c>
      <c r="E127" s="88">
        <f t="shared" si="16"/>
        <v>1</v>
      </c>
      <c r="F127" s="88">
        <f t="shared" si="16"/>
        <v>1</v>
      </c>
      <c r="G127" s="88">
        <f t="shared" si="16"/>
        <v>1</v>
      </c>
      <c r="H127" s="88">
        <f t="shared" si="16"/>
        <v>1</v>
      </c>
    </row>
    <row r="128" spans="1:8" x14ac:dyDescent="0.25">
      <c r="B128" s="103" t="s">
        <v>109</v>
      </c>
      <c r="C128" s="8" t="s">
        <v>153</v>
      </c>
      <c r="D128" s="88">
        <f t="shared" si="16"/>
        <v>1</v>
      </c>
      <c r="E128" s="88">
        <f t="shared" si="16"/>
        <v>1</v>
      </c>
      <c r="F128" s="88">
        <f t="shared" si="16"/>
        <v>1</v>
      </c>
      <c r="G128" s="88">
        <f t="shared" si="16"/>
        <v>1</v>
      </c>
      <c r="H128" s="88">
        <f t="shared" si="16"/>
        <v>1</v>
      </c>
    </row>
    <row r="129" spans="1:8" x14ac:dyDescent="0.25">
      <c r="B129" s="104"/>
      <c r="C129" s="8" t="s">
        <v>154</v>
      </c>
      <c r="D129" s="88">
        <f t="shared" si="16"/>
        <v>1</v>
      </c>
      <c r="E129" s="88">
        <f t="shared" si="16"/>
        <v>1</v>
      </c>
      <c r="F129" s="88">
        <f t="shared" si="16"/>
        <v>1</v>
      </c>
      <c r="G129" s="88">
        <f t="shared" si="16"/>
        <v>1</v>
      </c>
      <c r="H129" s="88">
        <f t="shared" si="16"/>
        <v>1</v>
      </c>
    </row>
    <row r="130" spans="1:8" x14ac:dyDescent="0.25">
      <c r="B130" s="104"/>
      <c r="C130" s="8" t="s">
        <v>155</v>
      </c>
      <c r="D130" s="88">
        <f t="shared" si="16"/>
        <v>1</v>
      </c>
      <c r="E130" s="88">
        <f t="shared" si="16"/>
        <v>1</v>
      </c>
      <c r="F130" s="88">
        <f t="shared" si="16"/>
        <v>1</v>
      </c>
      <c r="G130" s="88">
        <f t="shared" si="16"/>
        <v>1</v>
      </c>
      <c r="H130" s="88">
        <f t="shared" si="16"/>
        <v>1</v>
      </c>
    </row>
    <row r="131" spans="1:8" x14ac:dyDescent="0.25">
      <c r="B131" s="103" t="s">
        <v>96</v>
      </c>
      <c r="C131" s="8" t="s">
        <v>153</v>
      </c>
      <c r="D131" s="88">
        <f t="shared" si="16"/>
        <v>1</v>
      </c>
      <c r="E131" s="88">
        <f t="shared" si="16"/>
        <v>1</v>
      </c>
      <c r="F131" s="88">
        <f t="shared" si="16"/>
        <v>1</v>
      </c>
      <c r="G131" s="88">
        <f t="shared" si="16"/>
        <v>1</v>
      </c>
      <c r="H131" s="88">
        <f t="shared" si="16"/>
        <v>1</v>
      </c>
    </row>
    <row r="132" spans="1:8" x14ac:dyDescent="0.25">
      <c r="B132" s="104"/>
      <c r="C132" s="8" t="s">
        <v>154</v>
      </c>
      <c r="D132" s="88">
        <f t="shared" si="16"/>
        <v>1</v>
      </c>
      <c r="E132" s="88">
        <f t="shared" si="16"/>
        <v>1</v>
      </c>
      <c r="F132" s="88">
        <f t="shared" si="16"/>
        <v>1</v>
      </c>
      <c r="G132" s="88">
        <f t="shared" si="16"/>
        <v>1</v>
      </c>
      <c r="H132" s="88">
        <f t="shared" si="16"/>
        <v>1</v>
      </c>
    </row>
    <row r="133" spans="1:8" x14ac:dyDescent="0.25">
      <c r="B133" s="104"/>
      <c r="C133" s="8" t="s">
        <v>155</v>
      </c>
      <c r="D133" s="88">
        <f t="shared" si="16"/>
        <v>1</v>
      </c>
      <c r="E133" s="88">
        <f t="shared" si="16"/>
        <v>1</v>
      </c>
      <c r="F133" s="88">
        <f t="shared" si="16"/>
        <v>1</v>
      </c>
      <c r="G133" s="88">
        <f t="shared" si="16"/>
        <v>1</v>
      </c>
      <c r="H133" s="88">
        <f t="shared" si="16"/>
        <v>1</v>
      </c>
    </row>
    <row r="134" spans="1:8" x14ac:dyDescent="0.25">
      <c r="B134" s="103" t="s">
        <v>97</v>
      </c>
      <c r="C134" s="8" t="s">
        <v>153</v>
      </c>
      <c r="D134" s="88">
        <f t="shared" si="16"/>
        <v>1</v>
      </c>
      <c r="E134" s="88">
        <f t="shared" si="16"/>
        <v>1</v>
      </c>
      <c r="F134" s="88">
        <f t="shared" si="16"/>
        <v>1</v>
      </c>
      <c r="G134" s="88">
        <f t="shared" si="16"/>
        <v>1</v>
      </c>
      <c r="H134" s="88">
        <f t="shared" si="16"/>
        <v>1</v>
      </c>
    </row>
    <row r="135" spans="1:8" x14ac:dyDescent="0.25">
      <c r="B135" s="104"/>
      <c r="C135" s="8" t="s">
        <v>154</v>
      </c>
      <c r="D135" s="88">
        <f t="shared" ref="D135:H140" si="17">IF(D29=1,1,D29*1.05)</f>
        <v>1</v>
      </c>
      <c r="E135" s="88">
        <f t="shared" si="17"/>
        <v>1</v>
      </c>
      <c r="F135" s="88">
        <f t="shared" si="17"/>
        <v>1</v>
      </c>
      <c r="G135" s="88">
        <f t="shared" si="17"/>
        <v>1</v>
      </c>
      <c r="H135" s="88">
        <f t="shared" si="17"/>
        <v>1</v>
      </c>
    </row>
    <row r="136" spans="1:8" x14ac:dyDescent="0.25">
      <c r="B136" s="104"/>
      <c r="C136" s="8" t="s">
        <v>155</v>
      </c>
      <c r="D136" s="88">
        <f t="shared" si="17"/>
        <v>1</v>
      </c>
      <c r="E136" s="88">
        <f t="shared" si="17"/>
        <v>1</v>
      </c>
      <c r="F136" s="88">
        <f t="shared" si="17"/>
        <v>1</v>
      </c>
      <c r="G136" s="88">
        <f t="shared" si="17"/>
        <v>1</v>
      </c>
      <c r="H136" s="88">
        <f t="shared" si="17"/>
        <v>1</v>
      </c>
    </row>
    <row r="137" spans="1:8" x14ac:dyDescent="0.25">
      <c r="B137" s="103" t="s">
        <v>98</v>
      </c>
      <c r="C137" s="8" t="s">
        <v>153</v>
      </c>
      <c r="D137" s="88">
        <f t="shared" si="17"/>
        <v>1</v>
      </c>
      <c r="E137" s="88">
        <f t="shared" si="17"/>
        <v>1</v>
      </c>
      <c r="F137" s="88">
        <f t="shared" si="17"/>
        <v>1</v>
      </c>
      <c r="G137" s="88">
        <f t="shared" si="17"/>
        <v>1</v>
      </c>
      <c r="H137" s="88">
        <f t="shared" si="17"/>
        <v>1</v>
      </c>
    </row>
    <row r="138" spans="1:8" x14ac:dyDescent="0.25">
      <c r="B138" s="104"/>
      <c r="C138" s="8" t="s">
        <v>154</v>
      </c>
      <c r="D138" s="88">
        <f t="shared" si="17"/>
        <v>1</v>
      </c>
      <c r="E138" s="88">
        <f t="shared" si="17"/>
        <v>1</v>
      </c>
      <c r="F138" s="88">
        <f t="shared" si="17"/>
        <v>1</v>
      </c>
      <c r="G138" s="88">
        <f t="shared" si="17"/>
        <v>1</v>
      </c>
      <c r="H138" s="88">
        <f t="shared" si="17"/>
        <v>1</v>
      </c>
    </row>
    <row r="139" spans="1:8" x14ac:dyDescent="0.25">
      <c r="B139" s="104"/>
      <c r="C139" s="8" t="s">
        <v>155</v>
      </c>
      <c r="D139" s="88">
        <f t="shared" si="17"/>
        <v>1</v>
      </c>
      <c r="E139" s="88">
        <f t="shared" si="17"/>
        <v>1</v>
      </c>
      <c r="F139" s="88">
        <f t="shared" si="17"/>
        <v>1</v>
      </c>
      <c r="G139" s="88">
        <f t="shared" si="17"/>
        <v>1</v>
      </c>
      <c r="H139" s="88">
        <f t="shared" si="17"/>
        <v>1</v>
      </c>
    </row>
    <row r="140" spans="1:8" ht="13" customHeight="1" x14ac:dyDescent="0.25">
      <c r="B140" s="65" t="s">
        <v>156</v>
      </c>
      <c r="C140" s="8" t="s">
        <v>155</v>
      </c>
      <c r="D140" s="88">
        <f t="shared" si="17"/>
        <v>1</v>
      </c>
      <c r="E140" s="88">
        <f t="shared" si="17"/>
        <v>1</v>
      </c>
      <c r="F140" s="88">
        <f t="shared" si="17"/>
        <v>1</v>
      </c>
      <c r="G140" s="88">
        <f t="shared" si="17"/>
        <v>1</v>
      </c>
      <c r="H140" s="88">
        <f t="shared" si="17"/>
        <v>1</v>
      </c>
    </row>
    <row r="141" spans="1:8" x14ac:dyDescent="0.25">
      <c r="D141" s="86"/>
      <c r="E141" s="86"/>
      <c r="F141" s="86"/>
      <c r="G141" s="86"/>
      <c r="H141" s="86"/>
    </row>
    <row r="142" spans="1:8" ht="13" customHeight="1" x14ac:dyDescent="0.3">
      <c r="A142" s="66" t="s">
        <v>242</v>
      </c>
      <c r="B142" s="103" t="s">
        <v>100</v>
      </c>
      <c r="C142" s="8" t="s">
        <v>153</v>
      </c>
      <c r="D142" s="88">
        <f t="shared" ref="D142:H151" si="18">IF(D36=1,1,D36*1.05)</f>
        <v>1</v>
      </c>
      <c r="E142" s="88">
        <f t="shared" si="18"/>
        <v>1</v>
      </c>
      <c r="F142" s="88">
        <f t="shared" si="18"/>
        <v>1</v>
      </c>
      <c r="G142" s="88">
        <f t="shared" si="18"/>
        <v>1</v>
      </c>
      <c r="H142" s="88">
        <f t="shared" si="18"/>
        <v>1</v>
      </c>
    </row>
    <row r="143" spans="1:8" x14ac:dyDescent="0.25">
      <c r="B143" s="104"/>
      <c r="C143" s="8" t="s">
        <v>154</v>
      </c>
      <c r="D143" s="88">
        <f t="shared" si="18"/>
        <v>1</v>
      </c>
      <c r="E143" s="88">
        <f t="shared" si="18"/>
        <v>1</v>
      </c>
      <c r="F143" s="88">
        <f t="shared" si="18"/>
        <v>1</v>
      </c>
      <c r="G143" s="88">
        <f t="shared" si="18"/>
        <v>1</v>
      </c>
      <c r="H143" s="88">
        <f t="shared" si="18"/>
        <v>1</v>
      </c>
    </row>
    <row r="144" spans="1:8" x14ac:dyDescent="0.25">
      <c r="B144" s="104"/>
      <c r="C144" s="8" t="s">
        <v>155</v>
      </c>
      <c r="D144" s="88">
        <f t="shared" si="18"/>
        <v>1</v>
      </c>
      <c r="E144" s="88">
        <f t="shared" si="18"/>
        <v>1</v>
      </c>
      <c r="F144" s="88">
        <f t="shared" si="18"/>
        <v>1</v>
      </c>
      <c r="G144" s="88">
        <f t="shared" si="18"/>
        <v>1</v>
      </c>
      <c r="H144" s="88">
        <f t="shared" si="18"/>
        <v>1</v>
      </c>
    </row>
    <row r="145" spans="2:8" x14ac:dyDescent="0.25">
      <c r="B145" s="103" t="s">
        <v>109</v>
      </c>
      <c r="C145" s="8" t="s">
        <v>153</v>
      </c>
      <c r="D145" s="88">
        <f t="shared" si="18"/>
        <v>1</v>
      </c>
      <c r="E145" s="88">
        <f t="shared" si="18"/>
        <v>1</v>
      </c>
      <c r="F145" s="88">
        <f t="shared" si="18"/>
        <v>1</v>
      </c>
      <c r="G145" s="88">
        <f t="shared" si="18"/>
        <v>1</v>
      </c>
      <c r="H145" s="88">
        <f t="shared" si="18"/>
        <v>1</v>
      </c>
    </row>
    <row r="146" spans="2:8" x14ac:dyDescent="0.25">
      <c r="B146" s="104"/>
      <c r="C146" s="8" t="s">
        <v>154</v>
      </c>
      <c r="D146" s="88">
        <f t="shared" si="18"/>
        <v>1</v>
      </c>
      <c r="E146" s="88">
        <f t="shared" si="18"/>
        <v>1</v>
      </c>
      <c r="F146" s="88">
        <f t="shared" si="18"/>
        <v>1</v>
      </c>
      <c r="G146" s="88">
        <f t="shared" si="18"/>
        <v>1</v>
      </c>
      <c r="H146" s="88">
        <f t="shared" si="18"/>
        <v>1</v>
      </c>
    </row>
    <row r="147" spans="2:8" x14ac:dyDescent="0.25">
      <c r="B147" s="104"/>
      <c r="C147" s="8" t="s">
        <v>155</v>
      </c>
      <c r="D147" s="88">
        <f t="shared" si="18"/>
        <v>1</v>
      </c>
      <c r="E147" s="88">
        <f t="shared" si="18"/>
        <v>1</v>
      </c>
      <c r="F147" s="88">
        <f t="shared" si="18"/>
        <v>1</v>
      </c>
      <c r="G147" s="88">
        <f t="shared" si="18"/>
        <v>1</v>
      </c>
      <c r="H147" s="88">
        <f t="shared" si="18"/>
        <v>1</v>
      </c>
    </row>
    <row r="148" spans="2:8" x14ac:dyDescent="0.25">
      <c r="B148" s="103" t="s">
        <v>96</v>
      </c>
      <c r="C148" s="8" t="s">
        <v>153</v>
      </c>
      <c r="D148" s="88">
        <f t="shared" si="18"/>
        <v>1</v>
      </c>
      <c r="E148" s="88">
        <f t="shared" si="18"/>
        <v>1</v>
      </c>
      <c r="F148" s="88">
        <f t="shared" si="18"/>
        <v>1</v>
      </c>
      <c r="G148" s="88">
        <f t="shared" si="18"/>
        <v>1</v>
      </c>
      <c r="H148" s="88">
        <f t="shared" si="18"/>
        <v>1</v>
      </c>
    </row>
    <row r="149" spans="2:8" x14ac:dyDescent="0.25">
      <c r="B149" s="104"/>
      <c r="C149" s="8" t="s">
        <v>154</v>
      </c>
      <c r="D149" s="88">
        <f t="shared" si="18"/>
        <v>1</v>
      </c>
      <c r="E149" s="88">
        <f t="shared" si="18"/>
        <v>1</v>
      </c>
      <c r="F149" s="88">
        <f t="shared" si="18"/>
        <v>1</v>
      </c>
      <c r="G149" s="88">
        <f t="shared" si="18"/>
        <v>1</v>
      </c>
      <c r="H149" s="88">
        <f t="shared" si="18"/>
        <v>1</v>
      </c>
    </row>
    <row r="150" spans="2:8" x14ac:dyDescent="0.25">
      <c r="B150" s="104"/>
      <c r="C150" s="8" t="s">
        <v>155</v>
      </c>
      <c r="D150" s="88">
        <f t="shared" si="18"/>
        <v>1</v>
      </c>
      <c r="E150" s="88">
        <f t="shared" si="18"/>
        <v>1</v>
      </c>
      <c r="F150" s="88">
        <f t="shared" si="18"/>
        <v>1</v>
      </c>
      <c r="G150" s="88">
        <f t="shared" si="18"/>
        <v>1</v>
      </c>
      <c r="H150" s="88">
        <f t="shared" si="18"/>
        <v>1</v>
      </c>
    </row>
    <row r="151" spans="2:8" x14ac:dyDescent="0.25">
      <c r="B151" s="103" t="s">
        <v>97</v>
      </c>
      <c r="C151" s="8" t="s">
        <v>153</v>
      </c>
      <c r="D151" s="88">
        <f t="shared" si="18"/>
        <v>1</v>
      </c>
      <c r="E151" s="88">
        <f t="shared" si="18"/>
        <v>1</v>
      </c>
      <c r="F151" s="88">
        <f t="shared" si="18"/>
        <v>1</v>
      </c>
      <c r="G151" s="88">
        <f t="shared" si="18"/>
        <v>1</v>
      </c>
      <c r="H151" s="88">
        <f t="shared" si="18"/>
        <v>1</v>
      </c>
    </row>
    <row r="152" spans="2:8" x14ac:dyDescent="0.25">
      <c r="B152" s="104"/>
      <c r="C152" s="8" t="s">
        <v>154</v>
      </c>
      <c r="D152" s="88">
        <f t="shared" ref="D152:H157" si="19">IF(D46=1,1,D46*1.05)</f>
        <v>1</v>
      </c>
      <c r="E152" s="88">
        <f t="shared" si="19"/>
        <v>1</v>
      </c>
      <c r="F152" s="88">
        <f t="shared" si="19"/>
        <v>1</v>
      </c>
      <c r="G152" s="88">
        <f t="shared" si="19"/>
        <v>1</v>
      </c>
      <c r="H152" s="88">
        <f t="shared" si="19"/>
        <v>1</v>
      </c>
    </row>
    <row r="153" spans="2:8" x14ac:dyDescent="0.25">
      <c r="B153" s="104"/>
      <c r="C153" s="8" t="s">
        <v>155</v>
      </c>
      <c r="D153" s="88">
        <f t="shared" si="19"/>
        <v>1</v>
      </c>
      <c r="E153" s="88">
        <f t="shared" si="19"/>
        <v>1</v>
      </c>
      <c r="F153" s="88">
        <f t="shared" si="19"/>
        <v>1</v>
      </c>
      <c r="G153" s="88">
        <f t="shared" si="19"/>
        <v>1</v>
      </c>
      <c r="H153" s="88">
        <f t="shared" si="19"/>
        <v>1</v>
      </c>
    </row>
    <row r="154" spans="2:8" x14ac:dyDescent="0.25">
      <c r="B154" s="103" t="s">
        <v>98</v>
      </c>
      <c r="C154" s="8" t="s">
        <v>153</v>
      </c>
      <c r="D154" s="88">
        <f t="shared" si="19"/>
        <v>1</v>
      </c>
      <c r="E154" s="88">
        <f t="shared" si="19"/>
        <v>1</v>
      </c>
      <c r="F154" s="88">
        <f t="shared" si="19"/>
        <v>1</v>
      </c>
      <c r="G154" s="88">
        <f t="shared" si="19"/>
        <v>1</v>
      </c>
      <c r="H154" s="88">
        <f t="shared" si="19"/>
        <v>1</v>
      </c>
    </row>
    <row r="155" spans="2:8" x14ac:dyDescent="0.25">
      <c r="B155" s="104"/>
      <c r="C155" s="8" t="s">
        <v>154</v>
      </c>
      <c r="D155" s="88">
        <f t="shared" si="19"/>
        <v>1</v>
      </c>
      <c r="E155" s="88">
        <f t="shared" si="19"/>
        <v>1</v>
      </c>
      <c r="F155" s="88">
        <f t="shared" si="19"/>
        <v>1</v>
      </c>
      <c r="G155" s="88">
        <f t="shared" si="19"/>
        <v>1</v>
      </c>
      <c r="H155" s="88">
        <f t="shared" si="19"/>
        <v>1</v>
      </c>
    </row>
    <row r="156" spans="2:8" x14ac:dyDescent="0.25">
      <c r="B156" s="104"/>
      <c r="C156" s="8" t="s">
        <v>155</v>
      </c>
      <c r="D156" s="88">
        <f t="shared" si="19"/>
        <v>1</v>
      </c>
      <c r="E156" s="88">
        <f t="shared" si="19"/>
        <v>1</v>
      </c>
      <c r="F156" s="88">
        <f t="shared" si="19"/>
        <v>1</v>
      </c>
      <c r="G156" s="88">
        <f t="shared" si="19"/>
        <v>1</v>
      </c>
      <c r="H156" s="88">
        <f t="shared" si="19"/>
        <v>1</v>
      </c>
    </row>
    <row r="157" spans="2:8" ht="13" customHeight="1" x14ac:dyDescent="0.25">
      <c r="B157" s="65" t="s">
        <v>156</v>
      </c>
      <c r="C157" s="8" t="s">
        <v>155</v>
      </c>
      <c r="D157" s="88">
        <f t="shared" si="19"/>
        <v>1</v>
      </c>
      <c r="E157" s="88">
        <f t="shared" si="19"/>
        <v>1</v>
      </c>
      <c r="F157" s="88">
        <f t="shared" si="19"/>
        <v>1</v>
      </c>
      <c r="G157" s="88">
        <f t="shared" si="19"/>
        <v>1</v>
      </c>
      <c r="H157" s="88">
        <f t="shared" si="19"/>
        <v>1</v>
      </c>
    </row>
  </sheetData>
  <sheetProtection algorithmName="SHA-512" hashValue="hW2uYsRhyEJRHeViwLOFnGMxSqOkgNqWoNoM5efpI6Yy44cDqs3prhlq24ctomdRqwxgRipRpHG7ihmzGousNQ==" saltValue="MSckWTnmLkdtBMxoevhF/g==" spinCount="100000" sheet="1" objects="1" scenarios="1" selectLockedCell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zoomScale="85" zoomScaleNormal="85" workbookViewId="0">
      <selection activeCell="C31" sqref="C31"/>
    </sheetView>
  </sheetViews>
  <sheetFormatPr defaultColWidth="16.08984375" defaultRowHeight="15.75" customHeight="1" x14ac:dyDescent="0.25"/>
  <cols>
    <col min="1" max="1" width="23.90625" style="8" customWidth="1"/>
    <col min="2" max="2" width="34.08984375" style="8" customWidth="1"/>
    <col min="3" max="3" width="11.36328125" style="8" bestFit="1" customWidth="1"/>
    <col min="4" max="4" width="11.90625" style="8" customWidth="1"/>
    <col min="5" max="6" width="15" style="8" customWidth="1"/>
    <col min="7" max="7" width="16.08984375" style="8" customWidth="1"/>
    <col min="8" max="16384" width="16.08984375" style="8"/>
  </cols>
  <sheetData>
    <row r="1" spans="1:6" s="68" customFormat="1" ht="18.75" customHeight="1" x14ac:dyDescent="0.3">
      <c r="A1" s="67" t="s">
        <v>243</v>
      </c>
    </row>
    <row r="2" spans="1:6" ht="15.75" customHeight="1" x14ac:dyDescent="0.3">
      <c r="B2" s="69"/>
      <c r="C2" s="26" t="s">
        <v>54</v>
      </c>
      <c r="D2" s="70" t="s">
        <v>53</v>
      </c>
      <c r="E2" s="70" t="s">
        <v>52</v>
      </c>
      <c r="F2" s="70" t="s">
        <v>51</v>
      </c>
    </row>
    <row r="3" spans="1:6" ht="15.75" customHeight="1" x14ac:dyDescent="0.3">
      <c r="A3" s="4" t="s">
        <v>244</v>
      </c>
      <c r="B3" s="14"/>
      <c r="C3" s="71"/>
      <c r="D3" s="72"/>
      <c r="E3" s="72"/>
      <c r="F3" s="72"/>
    </row>
    <row r="4" spans="1:6" ht="15.75" customHeight="1" x14ac:dyDescent="0.25">
      <c r="B4" s="5" t="s">
        <v>37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5">
      <c r="B5" s="5" t="s">
        <v>38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5">
      <c r="B6" s="5" t="s">
        <v>39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5">
      <c r="B7" s="5" t="s">
        <v>40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C8" s="73"/>
      <c r="D8" s="64"/>
      <c r="E8" s="64"/>
      <c r="F8" s="64"/>
    </row>
    <row r="9" spans="1:6" ht="15.75" customHeight="1" x14ac:dyDescent="0.3">
      <c r="A9" s="4" t="s">
        <v>249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5">
      <c r="C10" s="73"/>
      <c r="D10" s="64"/>
      <c r="E10" s="64"/>
      <c r="F10" s="64"/>
    </row>
    <row r="11" spans="1:6" s="68" customFormat="1" ht="15" customHeight="1" x14ac:dyDescent="0.3">
      <c r="A11" s="67" t="s">
        <v>245</v>
      </c>
      <c r="C11" s="74"/>
      <c r="D11" s="75"/>
      <c r="E11" s="75"/>
      <c r="F11" s="75"/>
    </row>
    <row r="12" spans="1:6" ht="15.75" customHeight="1" x14ac:dyDescent="0.3">
      <c r="A12" s="4" t="s">
        <v>246</v>
      </c>
      <c r="C12" s="73"/>
      <c r="D12" s="64"/>
      <c r="E12" s="64"/>
      <c r="F12" s="64"/>
    </row>
    <row r="13" spans="1:6" ht="15.75" customHeight="1" x14ac:dyDescent="0.25">
      <c r="B13" s="11" t="s">
        <v>247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5">
      <c r="B14" s="11" t="s">
        <v>119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5">
      <c r="B15" s="11" t="s">
        <v>120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3">
      <c r="A16" s="4"/>
      <c r="B16" s="11"/>
      <c r="C16" s="76"/>
      <c r="D16" s="64"/>
      <c r="E16" s="64"/>
      <c r="F16" s="64"/>
    </row>
    <row r="17" spans="1:6" ht="15.75" customHeight="1" x14ac:dyDescent="0.3">
      <c r="A17" s="4" t="s">
        <v>248</v>
      </c>
      <c r="B17" s="14"/>
      <c r="C17" s="77"/>
      <c r="D17" s="78"/>
      <c r="E17" s="78"/>
      <c r="F17" s="78"/>
    </row>
    <row r="18" spans="1:6" ht="15.75" customHeight="1" x14ac:dyDescent="0.25">
      <c r="B18" s="5" t="s">
        <v>78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B19" s="5" t="s">
        <v>79</v>
      </c>
      <c r="C19" s="89">
        <v>1</v>
      </c>
      <c r="D19" s="90">
        <v>2.0699999999999998</v>
      </c>
      <c r="E19" s="90">
        <v>3.39</v>
      </c>
      <c r="F19" s="90">
        <v>11.89</v>
      </c>
    </row>
    <row r="20" spans="1:6" ht="15.75" customHeight="1" x14ac:dyDescent="0.25">
      <c r="B20" s="5" t="s">
        <v>80</v>
      </c>
      <c r="C20" s="89">
        <v>1</v>
      </c>
      <c r="D20" s="90">
        <v>2.0699999999999998</v>
      </c>
      <c r="E20" s="90">
        <v>3.39</v>
      </c>
      <c r="F20" s="90">
        <v>11.89</v>
      </c>
    </row>
    <row r="21" spans="1:6" ht="15.75" customHeight="1" x14ac:dyDescent="0.25">
      <c r="B21" s="5" t="s">
        <v>81</v>
      </c>
      <c r="C21" s="89">
        <v>1</v>
      </c>
      <c r="D21" s="90">
        <v>2.0699999999999998</v>
      </c>
      <c r="E21" s="90">
        <v>3.39</v>
      </c>
      <c r="F21" s="90">
        <v>11.89</v>
      </c>
    </row>
    <row r="22" spans="1:6" ht="15.75" customHeight="1" x14ac:dyDescent="0.25">
      <c r="B22" s="5" t="s">
        <v>82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5">
      <c r="B23" s="5" t="s">
        <v>83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5">
      <c r="B24" s="5" t="s">
        <v>84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B25" s="5" t="s">
        <v>85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5">
      <c r="B26" s="11"/>
    </row>
    <row r="27" spans="1:6" ht="15.75" customHeight="1" x14ac:dyDescent="0.3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3">
      <c r="A28" s="67" t="s">
        <v>243</v>
      </c>
    </row>
    <row r="29" spans="1:6" ht="15.75" customHeight="1" x14ac:dyDescent="0.3">
      <c r="B29" s="69"/>
      <c r="C29" s="26" t="s">
        <v>54</v>
      </c>
      <c r="D29" s="70" t="s">
        <v>53</v>
      </c>
      <c r="E29" s="70" t="s">
        <v>52</v>
      </c>
      <c r="F29" s="70" t="s">
        <v>51</v>
      </c>
    </row>
    <row r="30" spans="1:6" ht="15.75" customHeight="1" x14ac:dyDescent="0.3">
      <c r="A30" s="4" t="s">
        <v>250</v>
      </c>
      <c r="B30" s="14"/>
      <c r="C30" s="71"/>
      <c r="D30" s="72"/>
      <c r="E30" s="72"/>
      <c r="F30" s="72"/>
    </row>
    <row r="31" spans="1:6" ht="15.75" customHeight="1" x14ac:dyDescent="0.25">
      <c r="B31" s="5" t="s">
        <v>37</v>
      </c>
      <c r="C31" s="91">
        <f t="shared" ref="C31:F34" si="0">IF(C4=1,1,C4*0.9)</f>
        <v>1</v>
      </c>
      <c r="D31" s="91">
        <f t="shared" si="0"/>
        <v>1</v>
      </c>
      <c r="E31" s="91">
        <f t="shared" si="0"/>
        <v>1</v>
      </c>
      <c r="F31" s="91">
        <f t="shared" si="0"/>
        <v>1</v>
      </c>
    </row>
    <row r="32" spans="1:6" ht="15.75" customHeight="1" x14ac:dyDescent="0.25">
      <c r="B32" s="5" t="s">
        <v>38</v>
      </c>
      <c r="C32" s="91">
        <f t="shared" si="0"/>
        <v>1</v>
      </c>
      <c r="D32" s="91">
        <f t="shared" si="0"/>
        <v>1.2689999999999999</v>
      </c>
      <c r="E32" s="91">
        <f t="shared" si="0"/>
        <v>1.341</v>
      </c>
      <c r="F32" s="91">
        <f t="shared" si="0"/>
        <v>2.7269999999999999</v>
      </c>
    </row>
    <row r="33" spans="1:6" ht="15.75" customHeight="1" x14ac:dyDescent="0.25">
      <c r="B33" s="5" t="s">
        <v>39</v>
      </c>
      <c r="C33" s="91">
        <f t="shared" si="0"/>
        <v>1</v>
      </c>
      <c r="D33" s="91">
        <f t="shared" si="0"/>
        <v>1.0620000000000001</v>
      </c>
      <c r="E33" s="91">
        <f t="shared" si="0"/>
        <v>0.9900000000000001</v>
      </c>
      <c r="F33" s="91">
        <f t="shared" si="0"/>
        <v>1.593</v>
      </c>
    </row>
    <row r="34" spans="1:6" ht="15.75" customHeight="1" x14ac:dyDescent="0.25">
      <c r="B34" s="5" t="s">
        <v>40</v>
      </c>
      <c r="C34" s="91">
        <f t="shared" si="0"/>
        <v>1</v>
      </c>
      <c r="D34" s="91">
        <f t="shared" si="0"/>
        <v>1</v>
      </c>
      <c r="E34" s="91">
        <f t="shared" si="0"/>
        <v>1</v>
      </c>
      <c r="F34" s="91">
        <f t="shared" si="0"/>
        <v>1</v>
      </c>
    </row>
    <row r="35" spans="1:6" ht="15.75" customHeight="1" x14ac:dyDescent="0.25">
      <c r="C35" s="73"/>
      <c r="D35" s="64"/>
      <c r="E35" s="64"/>
      <c r="F35" s="64"/>
    </row>
    <row r="36" spans="1:6" ht="15.75" customHeight="1" x14ac:dyDescent="0.3">
      <c r="A36" s="4" t="s">
        <v>262</v>
      </c>
      <c r="C36" s="91">
        <f>IF(C9=1,1,C9*0.9)</f>
        <v>1</v>
      </c>
      <c r="D36" s="91">
        <f>IF(D9=1,1,D9*0.9)</f>
        <v>1.377</v>
      </c>
      <c r="E36" s="91">
        <f>IF(E9=1,1,E9*0.9)</f>
        <v>1.1880000000000002</v>
      </c>
      <c r="F36" s="91">
        <f>IF(F9=1,1,F9*0.9)</f>
        <v>1.377</v>
      </c>
    </row>
    <row r="38" spans="1:6" ht="15.75" customHeight="1" x14ac:dyDescent="0.3">
      <c r="A38" s="67" t="s">
        <v>245</v>
      </c>
      <c r="B38" s="68"/>
      <c r="C38" s="74"/>
      <c r="D38" s="75"/>
      <c r="E38" s="75"/>
      <c r="F38" s="75"/>
    </row>
    <row r="39" spans="1:6" ht="15.75" customHeight="1" x14ac:dyDescent="0.3">
      <c r="A39" s="4" t="s">
        <v>251</v>
      </c>
      <c r="C39" s="73"/>
      <c r="D39" s="64"/>
      <c r="E39" s="64"/>
      <c r="F39" s="64"/>
    </row>
    <row r="40" spans="1:6" ht="15.75" customHeight="1" x14ac:dyDescent="0.25">
      <c r="B40" s="11" t="s">
        <v>256</v>
      </c>
      <c r="C40" s="91">
        <f t="shared" ref="C40:F42" si="1">IF(C13=1,1,C13*0.9)</f>
        <v>1</v>
      </c>
      <c r="D40" s="91">
        <f t="shared" si="1"/>
        <v>4.5</v>
      </c>
      <c r="E40" s="91">
        <f t="shared" si="1"/>
        <v>5.7600000000000007</v>
      </c>
      <c r="F40" s="91">
        <f t="shared" si="1"/>
        <v>41.85</v>
      </c>
    </row>
    <row r="41" spans="1:6" ht="15.75" customHeight="1" x14ac:dyDescent="0.25">
      <c r="B41" s="11" t="s">
        <v>257</v>
      </c>
      <c r="C41" s="91">
        <f t="shared" si="1"/>
        <v>1</v>
      </c>
      <c r="D41" s="91">
        <f t="shared" si="1"/>
        <v>2.2680000000000002</v>
      </c>
      <c r="E41" s="91">
        <f t="shared" si="1"/>
        <v>1.764</v>
      </c>
      <c r="F41" s="91">
        <f t="shared" si="1"/>
        <v>3.7710000000000004</v>
      </c>
    </row>
    <row r="42" spans="1:6" ht="15.75" customHeight="1" x14ac:dyDescent="0.25">
      <c r="B42" s="11" t="s">
        <v>258</v>
      </c>
      <c r="C42" s="91">
        <f t="shared" si="1"/>
        <v>1</v>
      </c>
      <c r="D42" s="91">
        <f t="shared" si="1"/>
        <v>2.2680000000000002</v>
      </c>
      <c r="E42" s="91">
        <f t="shared" si="1"/>
        <v>1.764</v>
      </c>
      <c r="F42" s="91">
        <f t="shared" si="1"/>
        <v>3.7710000000000004</v>
      </c>
    </row>
    <row r="43" spans="1:6" ht="15.75" customHeight="1" x14ac:dyDescent="0.3">
      <c r="A43" s="4"/>
      <c r="B43" s="11"/>
      <c r="C43" s="76"/>
      <c r="D43" s="64"/>
      <c r="E43" s="64"/>
      <c r="F43" s="64"/>
    </row>
    <row r="44" spans="1:6" ht="15.75" customHeight="1" x14ac:dyDescent="0.3">
      <c r="A44" s="4" t="s">
        <v>252</v>
      </c>
      <c r="B44" s="14"/>
      <c r="C44" s="77"/>
      <c r="D44" s="78"/>
      <c r="E44" s="78"/>
      <c r="F44" s="78"/>
    </row>
    <row r="45" spans="1:6" ht="15.75" customHeight="1" x14ac:dyDescent="0.25">
      <c r="B45" s="5" t="s">
        <v>78</v>
      </c>
      <c r="C45" s="91">
        <f t="shared" ref="C45:F52" si="2">IF(C18=1,1,C18*0.9)</f>
        <v>1</v>
      </c>
      <c r="D45" s="91">
        <f t="shared" si="2"/>
        <v>1</v>
      </c>
      <c r="E45" s="91">
        <f t="shared" si="2"/>
        <v>1</v>
      </c>
      <c r="F45" s="91">
        <f t="shared" si="2"/>
        <v>1</v>
      </c>
    </row>
    <row r="46" spans="1:6" ht="15.75" customHeight="1" x14ac:dyDescent="0.25">
      <c r="B46" s="5" t="s">
        <v>79</v>
      </c>
      <c r="C46" s="91">
        <f t="shared" si="2"/>
        <v>1</v>
      </c>
      <c r="D46" s="91">
        <f t="shared" si="2"/>
        <v>1.863</v>
      </c>
      <c r="E46" s="91">
        <f t="shared" si="2"/>
        <v>3.0510000000000002</v>
      </c>
      <c r="F46" s="91">
        <f t="shared" si="2"/>
        <v>10.701000000000001</v>
      </c>
    </row>
    <row r="47" spans="1:6" ht="15.75" customHeight="1" x14ac:dyDescent="0.25">
      <c r="B47" s="5" t="s">
        <v>80</v>
      </c>
      <c r="C47" s="91">
        <f t="shared" si="2"/>
        <v>1</v>
      </c>
      <c r="D47" s="91">
        <f t="shared" si="2"/>
        <v>1.863</v>
      </c>
      <c r="E47" s="91">
        <f t="shared" si="2"/>
        <v>3.0510000000000002</v>
      </c>
      <c r="F47" s="91">
        <f t="shared" si="2"/>
        <v>10.701000000000001</v>
      </c>
    </row>
    <row r="48" spans="1:6" ht="15.75" customHeight="1" x14ac:dyDescent="0.25">
      <c r="B48" s="5" t="s">
        <v>81</v>
      </c>
      <c r="C48" s="91">
        <f t="shared" si="2"/>
        <v>1</v>
      </c>
      <c r="D48" s="91">
        <f t="shared" si="2"/>
        <v>1.863</v>
      </c>
      <c r="E48" s="91">
        <f t="shared" si="2"/>
        <v>3.0510000000000002</v>
      </c>
      <c r="F48" s="91">
        <f t="shared" si="2"/>
        <v>10.701000000000001</v>
      </c>
    </row>
    <row r="49" spans="1:6" ht="15.75" customHeight="1" x14ac:dyDescent="0.25">
      <c r="B49" s="5" t="s">
        <v>82</v>
      </c>
      <c r="C49" s="91">
        <f t="shared" si="2"/>
        <v>1</v>
      </c>
      <c r="D49" s="91">
        <f t="shared" si="2"/>
        <v>1</v>
      </c>
      <c r="E49" s="91">
        <f t="shared" si="2"/>
        <v>899.99099999999999</v>
      </c>
      <c r="F49" s="91">
        <f t="shared" si="2"/>
        <v>899.99099999999999</v>
      </c>
    </row>
    <row r="50" spans="1:6" ht="15.75" customHeight="1" x14ac:dyDescent="0.25">
      <c r="B50" s="5" t="s">
        <v>83</v>
      </c>
      <c r="C50" s="91">
        <f t="shared" si="2"/>
        <v>1</v>
      </c>
      <c r="D50" s="91">
        <f t="shared" si="2"/>
        <v>1</v>
      </c>
      <c r="E50" s="91">
        <f t="shared" si="2"/>
        <v>1</v>
      </c>
      <c r="F50" s="91">
        <f t="shared" si="2"/>
        <v>1</v>
      </c>
    </row>
    <row r="51" spans="1:6" ht="15.75" customHeight="1" x14ac:dyDescent="0.25">
      <c r="B51" s="5" t="s">
        <v>84</v>
      </c>
      <c r="C51" s="91">
        <f t="shared" si="2"/>
        <v>1</v>
      </c>
      <c r="D51" s="91">
        <f t="shared" si="2"/>
        <v>1</v>
      </c>
      <c r="E51" s="91">
        <f t="shared" si="2"/>
        <v>1</v>
      </c>
      <c r="F51" s="91">
        <f t="shared" si="2"/>
        <v>1</v>
      </c>
    </row>
    <row r="52" spans="1:6" ht="15.75" customHeight="1" x14ac:dyDescent="0.25">
      <c r="B52" s="5" t="s">
        <v>85</v>
      </c>
      <c r="C52" s="91">
        <f t="shared" si="2"/>
        <v>1</v>
      </c>
      <c r="D52" s="91">
        <f t="shared" si="2"/>
        <v>1</v>
      </c>
      <c r="E52" s="91">
        <f t="shared" si="2"/>
        <v>1</v>
      </c>
      <c r="F52" s="91">
        <f t="shared" si="2"/>
        <v>1</v>
      </c>
    </row>
    <row r="54" spans="1:6" ht="15.75" customHeight="1" x14ac:dyDescent="0.3">
      <c r="A54" s="92" t="s">
        <v>239</v>
      </c>
      <c r="B54" s="93"/>
      <c r="C54" s="94"/>
      <c r="D54" s="95"/>
      <c r="E54" s="95"/>
      <c r="F54" s="95"/>
    </row>
    <row r="55" spans="1:6" s="68" customFormat="1" ht="18.75" customHeight="1" x14ac:dyDescent="0.3">
      <c r="A55" s="67" t="s">
        <v>243</v>
      </c>
    </row>
    <row r="56" spans="1:6" ht="15.75" customHeight="1" x14ac:dyDescent="0.3">
      <c r="B56" s="69"/>
      <c r="C56" s="26" t="s">
        <v>54</v>
      </c>
      <c r="D56" s="70" t="s">
        <v>53</v>
      </c>
      <c r="E56" s="70" t="s">
        <v>52</v>
      </c>
      <c r="F56" s="70" t="s">
        <v>51</v>
      </c>
    </row>
    <row r="57" spans="1:6" ht="15.75" customHeight="1" x14ac:dyDescent="0.3">
      <c r="A57" s="4" t="s">
        <v>253</v>
      </c>
      <c r="B57" s="14"/>
      <c r="C57" s="71"/>
      <c r="D57" s="72"/>
      <c r="E57" s="72"/>
      <c r="F57" s="72"/>
    </row>
    <row r="58" spans="1:6" ht="15.75" customHeight="1" x14ac:dyDescent="0.25">
      <c r="B58" s="5" t="s">
        <v>37</v>
      </c>
      <c r="C58" s="91">
        <f t="shared" ref="C58:F61" si="3">IF(C4=1,1,C4*1.1)</f>
        <v>1</v>
      </c>
      <c r="D58" s="91">
        <f t="shared" si="3"/>
        <v>1</v>
      </c>
      <c r="E58" s="91">
        <f t="shared" si="3"/>
        <v>1</v>
      </c>
      <c r="F58" s="91">
        <f t="shared" si="3"/>
        <v>1</v>
      </c>
    </row>
    <row r="59" spans="1:6" ht="15.75" customHeight="1" x14ac:dyDescent="0.25">
      <c r="B59" s="5" t="s">
        <v>38</v>
      </c>
      <c r="C59" s="91">
        <f t="shared" si="3"/>
        <v>1</v>
      </c>
      <c r="D59" s="91">
        <f t="shared" si="3"/>
        <v>1.5509999999999999</v>
      </c>
      <c r="E59" s="91">
        <f t="shared" si="3"/>
        <v>1.639</v>
      </c>
      <c r="F59" s="91">
        <f t="shared" si="3"/>
        <v>3.3330000000000002</v>
      </c>
    </row>
    <row r="60" spans="1:6" ht="15.75" customHeight="1" x14ac:dyDescent="0.25">
      <c r="B60" s="5" t="s">
        <v>39</v>
      </c>
      <c r="C60" s="91">
        <f t="shared" si="3"/>
        <v>1</v>
      </c>
      <c r="D60" s="91">
        <f t="shared" si="3"/>
        <v>1.298</v>
      </c>
      <c r="E60" s="91">
        <f t="shared" si="3"/>
        <v>1.2100000000000002</v>
      </c>
      <c r="F60" s="91">
        <f t="shared" si="3"/>
        <v>1.9470000000000003</v>
      </c>
    </row>
    <row r="61" spans="1:6" ht="15.75" customHeight="1" x14ac:dyDescent="0.25">
      <c r="B61" s="5" t="s">
        <v>40</v>
      </c>
      <c r="C61" s="91">
        <f t="shared" si="3"/>
        <v>1</v>
      </c>
      <c r="D61" s="91">
        <f t="shared" si="3"/>
        <v>1</v>
      </c>
      <c r="E61" s="91">
        <f t="shared" si="3"/>
        <v>1</v>
      </c>
      <c r="F61" s="91">
        <f t="shared" si="3"/>
        <v>1</v>
      </c>
    </row>
    <row r="62" spans="1:6" ht="15.75" customHeight="1" x14ac:dyDescent="0.25">
      <c r="C62" s="73"/>
      <c r="D62" s="64"/>
      <c r="E62" s="64"/>
      <c r="F62" s="64"/>
    </row>
    <row r="63" spans="1:6" ht="15.75" customHeight="1" x14ac:dyDescent="0.3">
      <c r="A63" s="4" t="s">
        <v>263</v>
      </c>
      <c r="C63" s="91">
        <f>IF(C9=1,1,C9*1.1)</f>
        <v>1</v>
      </c>
      <c r="D63" s="91">
        <f>IF(D9=1,1,D9*1.1)</f>
        <v>1.6830000000000003</v>
      </c>
      <c r="E63" s="91">
        <f>IF(E9=1,1,E9*1.1)</f>
        <v>1.4520000000000002</v>
      </c>
      <c r="F63" s="91">
        <f>IF(F9=1,1,F9*1.1)</f>
        <v>1.6830000000000003</v>
      </c>
    </row>
    <row r="65" spans="1:6" ht="15.75" customHeight="1" x14ac:dyDescent="0.3">
      <c r="A65" s="67" t="s">
        <v>245</v>
      </c>
      <c r="B65" s="68"/>
      <c r="C65" s="74"/>
      <c r="D65" s="75"/>
      <c r="E65" s="75"/>
      <c r="F65" s="75"/>
    </row>
    <row r="66" spans="1:6" ht="15.75" customHeight="1" x14ac:dyDescent="0.3">
      <c r="A66" s="4" t="s">
        <v>254</v>
      </c>
      <c r="C66" s="73"/>
      <c r="D66" s="64"/>
      <c r="E66" s="64"/>
      <c r="F66" s="64"/>
    </row>
    <row r="67" spans="1:6" ht="15.75" customHeight="1" x14ac:dyDescent="0.25">
      <c r="B67" s="11" t="s">
        <v>259</v>
      </c>
      <c r="C67" s="91">
        <f t="shared" ref="C67:F69" si="4">IF(C13=1,1,C13*1.1)</f>
        <v>1</v>
      </c>
      <c r="D67" s="91">
        <f t="shared" si="4"/>
        <v>5.5</v>
      </c>
      <c r="E67" s="91">
        <f t="shared" si="4"/>
        <v>7.0400000000000009</v>
      </c>
      <c r="F67" s="91">
        <f t="shared" si="4"/>
        <v>51.150000000000006</v>
      </c>
    </row>
    <row r="68" spans="1:6" ht="15.75" customHeight="1" x14ac:dyDescent="0.25">
      <c r="B68" s="11" t="s">
        <v>260</v>
      </c>
      <c r="C68" s="91">
        <f t="shared" si="4"/>
        <v>1</v>
      </c>
      <c r="D68" s="91">
        <f t="shared" si="4"/>
        <v>2.7720000000000002</v>
      </c>
      <c r="E68" s="91">
        <f t="shared" si="4"/>
        <v>2.1560000000000001</v>
      </c>
      <c r="F68" s="91">
        <f t="shared" si="4"/>
        <v>4.6090000000000009</v>
      </c>
    </row>
    <row r="69" spans="1:6" ht="15.75" customHeight="1" x14ac:dyDescent="0.25">
      <c r="B69" s="11" t="s">
        <v>261</v>
      </c>
      <c r="C69" s="91">
        <f t="shared" si="4"/>
        <v>1</v>
      </c>
      <c r="D69" s="91">
        <f t="shared" si="4"/>
        <v>2.7720000000000002</v>
      </c>
      <c r="E69" s="91">
        <f t="shared" si="4"/>
        <v>2.1560000000000001</v>
      </c>
      <c r="F69" s="91">
        <f t="shared" si="4"/>
        <v>4.6090000000000009</v>
      </c>
    </row>
    <row r="70" spans="1:6" ht="15.75" customHeight="1" x14ac:dyDescent="0.3">
      <c r="A70" s="4"/>
      <c r="B70" s="11"/>
      <c r="C70" s="76"/>
      <c r="D70" s="64"/>
      <c r="E70" s="64"/>
      <c r="F70" s="64"/>
    </row>
    <row r="71" spans="1:6" ht="15.75" customHeight="1" x14ac:dyDescent="0.3">
      <c r="A71" s="4" t="s">
        <v>255</v>
      </c>
      <c r="B71" s="14"/>
      <c r="C71" s="77"/>
      <c r="D71" s="78"/>
      <c r="E71" s="78"/>
      <c r="F71" s="78"/>
    </row>
    <row r="72" spans="1:6" ht="15.75" customHeight="1" x14ac:dyDescent="0.25">
      <c r="B72" s="5" t="s">
        <v>78</v>
      </c>
      <c r="C72" s="91">
        <f t="shared" ref="C72:F79" si="5">IF(C18=1,1,C18*1.1)</f>
        <v>1</v>
      </c>
      <c r="D72" s="91">
        <f t="shared" si="5"/>
        <v>1</v>
      </c>
      <c r="E72" s="91">
        <f t="shared" si="5"/>
        <v>1</v>
      </c>
      <c r="F72" s="91">
        <f t="shared" si="5"/>
        <v>1</v>
      </c>
    </row>
    <row r="73" spans="1:6" ht="15.75" customHeight="1" x14ac:dyDescent="0.25">
      <c r="B73" s="5" t="s">
        <v>79</v>
      </c>
      <c r="C73" s="91">
        <f t="shared" si="5"/>
        <v>1</v>
      </c>
      <c r="D73" s="91">
        <f t="shared" si="5"/>
        <v>2.2770000000000001</v>
      </c>
      <c r="E73" s="91">
        <f t="shared" si="5"/>
        <v>3.7290000000000005</v>
      </c>
      <c r="F73" s="91">
        <f t="shared" si="5"/>
        <v>13.079000000000002</v>
      </c>
    </row>
    <row r="74" spans="1:6" ht="15.75" customHeight="1" x14ac:dyDescent="0.25">
      <c r="B74" s="5" t="s">
        <v>80</v>
      </c>
      <c r="C74" s="91">
        <f t="shared" si="5"/>
        <v>1</v>
      </c>
      <c r="D74" s="91">
        <f t="shared" si="5"/>
        <v>2.2770000000000001</v>
      </c>
      <c r="E74" s="91">
        <f t="shared" si="5"/>
        <v>3.7290000000000005</v>
      </c>
      <c r="F74" s="91">
        <f t="shared" si="5"/>
        <v>13.079000000000002</v>
      </c>
    </row>
    <row r="75" spans="1:6" ht="15.75" customHeight="1" x14ac:dyDescent="0.25">
      <c r="B75" s="5" t="s">
        <v>81</v>
      </c>
      <c r="C75" s="91">
        <f t="shared" si="5"/>
        <v>1</v>
      </c>
      <c r="D75" s="91">
        <f t="shared" si="5"/>
        <v>2.2770000000000001</v>
      </c>
      <c r="E75" s="91">
        <f t="shared" si="5"/>
        <v>3.7290000000000005</v>
      </c>
      <c r="F75" s="91">
        <f t="shared" si="5"/>
        <v>13.079000000000002</v>
      </c>
    </row>
    <row r="76" spans="1:6" ht="15.75" customHeight="1" x14ac:dyDescent="0.25">
      <c r="B76" s="5" t="s">
        <v>82</v>
      </c>
      <c r="C76" s="91">
        <f t="shared" si="5"/>
        <v>1</v>
      </c>
      <c r="D76" s="91">
        <f t="shared" si="5"/>
        <v>1</v>
      </c>
      <c r="E76" s="91">
        <f t="shared" si="5"/>
        <v>1099.989</v>
      </c>
      <c r="F76" s="91">
        <f t="shared" si="5"/>
        <v>1099.989</v>
      </c>
    </row>
    <row r="77" spans="1:6" ht="15.75" customHeight="1" x14ac:dyDescent="0.25">
      <c r="B77" s="5" t="s">
        <v>83</v>
      </c>
      <c r="C77" s="91">
        <f t="shared" si="5"/>
        <v>1</v>
      </c>
      <c r="D77" s="91">
        <f t="shared" si="5"/>
        <v>1</v>
      </c>
      <c r="E77" s="91">
        <f t="shared" si="5"/>
        <v>1</v>
      </c>
      <c r="F77" s="91">
        <f t="shared" si="5"/>
        <v>1</v>
      </c>
    </row>
    <row r="78" spans="1:6" ht="15.75" customHeight="1" x14ac:dyDescent="0.25">
      <c r="B78" s="5" t="s">
        <v>84</v>
      </c>
      <c r="C78" s="91">
        <f t="shared" si="5"/>
        <v>1</v>
      </c>
      <c r="D78" s="91">
        <f t="shared" si="5"/>
        <v>1</v>
      </c>
      <c r="E78" s="91">
        <f t="shared" si="5"/>
        <v>1</v>
      </c>
      <c r="F78" s="91">
        <f t="shared" si="5"/>
        <v>1</v>
      </c>
    </row>
    <row r="79" spans="1:6" ht="15.75" customHeight="1" x14ac:dyDescent="0.25">
      <c r="B79" s="5" t="s">
        <v>85</v>
      </c>
      <c r="C79" s="91">
        <f t="shared" si="5"/>
        <v>1</v>
      </c>
      <c r="D79" s="91">
        <f t="shared" si="5"/>
        <v>1</v>
      </c>
      <c r="E79" s="91">
        <f t="shared" si="5"/>
        <v>1</v>
      </c>
      <c r="F79" s="91">
        <f t="shared" si="5"/>
        <v>1</v>
      </c>
    </row>
  </sheetData>
  <sheetProtection algorithmName="SHA-512" hashValue="DDfY1eg6HOUPtNpvBKTs7PljUXJ18YQp/0W/ZXaSvqEzZhuynw6e0iCqTDzDbfOxclTjlkzN29isl7AlcF+sgg==" saltValue="VOBH4lvVXs7RfCRllKRrog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54" zoomScaleNormal="100" workbookViewId="0">
      <selection activeCell="D30" sqref="D30"/>
    </sheetView>
  </sheetViews>
  <sheetFormatPr defaultColWidth="12.81640625" defaultRowHeight="12.5" x14ac:dyDescent="0.25"/>
  <cols>
    <col min="1" max="1" width="27.1796875" style="8" customWidth="1"/>
    <col min="2" max="2" width="26.90625" style="8" customWidth="1"/>
    <col min="3" max="3" width="18.36328125" style="8" customWidth="1"/>
    <col min="4" max="8" width="14.81640625" style="8" customWidth="1"/>
    <col min="9" max="12" width="15.36328125" style="8" bestFit="1" customWidth="1"/>
    <col min="13" max="16" width="16.90625" style="8" bestFit="1" customWidth="1"/>
    <col min="17" max="17" width="12.81640625" style="8" customWidth="1"/>
    <col min="18" max="16384" width="12.81640625" style="8"/>
  </cols>
  <sheetData>
    <row r="1" spans="1:16" s="68" customFormat="1" ht="13" customHeight="1" x14ac:dyDescent="0.3">
      <c r="A1" s="67" t="s">
        <v>264</v>
      </c>
    </row>
    <row r="2" spans="1:16" ht="13" customHeight="1" x14ac:dyDescent="0.3">
      <c r="A2" s="39" t="s">
        <v>226</v>
      </c>
      <c r="B2" s="1" t="s">
        <v>265</v>
      </c>
      <c r="C2" s="1" t="s">
        <v>266</v>
      </c>
      <c r="D2" s="70" t="s">
        <v>109</v>
      </c>
      <c r="E2" s="70" t="s">
        <v>96</v>
      </c>
      <c r="F2" s="70" t="s">
        <v>97</v>
      </c>
      <c r="G2" s="70" t="s">
        <v>98</v>
      </c>
      <c r="H2" s="70" t="s">
        <v>99</v>
      </c>
      <c r="I2" s="79"/>
      <c r="J2" s="79"/>
      <c r="K2" s="79"/>
      <c r="L2" s="79"/>
      <c r="M2" s="79"/>
      <c r="N2" s="79"/>
      <c r="O2" s="79"/>
      <c r="P2" s="79"/>
    </row>
    <row r="3" spans="1:16" ht="13" customHeight="1" x14ac:dyDescent="0.3">
      <c r="A3" s="4"/>
      <c r="B3" s="8" t="s">
        <v>87</v>
      </c>
      <c r="C3" s="3" t="s">
        <v>10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5">
      <c r="C4" s="3" t="s">
        <v>267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5">
      <c r="C5" s="3" t="s">
        <v>268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5">
      <c r="C6" s="3" t="s">
        <v>269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5">
      <c r="B7" s="8" t="s">
        <v>88</v>
      </c>
      <c r="C7" s="3" t="s">
        <v>10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5">
      <c r="C8" s="3" t="s">
        <v>267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5">
      <c r="C9" s="3" t="s">
        <v>268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5">
      <c r="C10" s="3" t="s">
        <v>269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5">
      <c r="B11" s="8" t="s">
        <v>90</v>
      </c>
      <c r="C11" s="3" t="s">
        <v>10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5">
      <c r="C12" s="3" t="s">
        <v>267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5">
      <c r="C13" s="3" t="s">
        <v>268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5">
      <c r="C14" s="3" t="s">
        <v>269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5">
      <c r="B15" s="8" t="s">
        <v>91</v>
      </c>
      <c r="C15" s="3" t="s">
        <v>10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5">
      <c r="C16" s="3" t="s">
        <v>267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5">
      <c r="C17" s="3" t="s">
        <v>268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4" customHeight="1" x14ac:dyDescent="0.25">
      <c r="C18" s="3" t="s">
        <v>269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5">
      <c r="B19" s="8" t="s">
        <v>89</v>
      </c>
      <c r="C19" s="3" t="s">
        <v>10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5">
      <c r="C20" s="3" t="s">
        <v>267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5">
      <c r="C21" s="3" t="s">
        <v>268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5">
      <c r="C22" s="3" t="s">
        <v>269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5">
      <c r="B23" s="8" t="s">
        <v>95</v>
      </c>
      <c r="C23" s="3" t="s">
        <v>10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5">
      <c r="C24" s="3" t="s">
        <v>267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5">
      <c r="C25" s="3" t="s">
        <v>268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5">
      <c r="C26" s="3" t="s">
        <v>269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ht="13" customHeight="1" x14ac:dyDescent="0.3">
      <c r="A28" s="67" t="s">
        <v>278</v>
      </c>
    </row>
    <row r="29" spans="1:16" ht="13" customHeight="1" x14ac:dyDescent="0.3">
      <c r="A29" s="39" t="s">
        <v>279</v>
      </c>
      <c r="B29" s="4" t="s">
        <v>265</v>
      </c>
      <c r="C29" s="4" t="s">
        <v>270</v>
      </c>
      <c r="D29" s="70" t="s">
        <v>109</v>
      </c>
      <c r="E29" s="70" t="s">
        <v>96</v>
      </c>
      <c r="F29" s="70" t="s">
        <v>97</v>
      </c>
      <c r="G29" s="70" t="s">
        <v>98</v>
      </c>
      <c r="H29" s="70" t="s">
        <v>99</v>
      </c>
      <c r="I29" s="79"/>
      <c r="J29" s="79"/>
      <c r="K29" s="79"/>
      <c r="L29" s="79"/>
      <c r="M29" s="79"/>
      <c r="N29" s="79"/>
      <c r="O29" s="79"/>
      <c r="P29" s="79"/>
    </row>
    <row r="30" spans="1:16" ht="13" customHeight="1" x14ac:dyDescent="0.3">
      <c r="A30" s="4"/>
      <c r="B30" s="8" t="s">
        <v>87</v>
      </c>
      <c r="C30" s="3" t="s">
        <v>10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5">
      <c r="C31" s="3" t="s">
        <v>267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5">
      <c r="C32" s="3" t="s">
        <v>209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5">
      <c r="C33" s="3" t="s">
        <v>208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5">
      <c r="B34" s="8" t="s">
        <v>88</v>
      </c>
      <c r="C34" s="3" t="s">
        <v>10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5">
      <c r="C35" s="3" t="s">
        <v>267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5">
      <c r="C36" s="3" t="s">
        <v>209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5">
      <c r="C37" s="3" t="s">
        <v>208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5">
      <c r="B38" s="8" t="s">
        <v>90</v>
      </c>
      <c r="C38" s="3" t="s">
        <v>10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5">
      <c r="C39" s="3" t="s">
        <v>267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5">
      <c r="C40" s="3" t="s">
        <v>209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5">
      <c r="C41" s="3" t="s">
        <v>208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5">
      <c r="B42" s="8" t="s">
        <v>91</v>
      </c>
      <c r="C42" s="3" t="s">
        <v>10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5">
      <c r="C43" s="3" t="s">
        <v>267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5">
      <c r="C44" s="3" t="s">
        <v>209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5">
      <c r="C45" s="3" t="s">
        <v>208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5">
      <c r="B46" s="8" t="s">
        <v>89</v>
      </c>
      <c r="C46" s="3" t="s">
        <v>10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5">
      <c r="C47" s="3" t="s">
        <v>267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5">
      <c r="C48" s="3" t="s">
        <v>209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5">
      <c r="C49" s="3" t="s">
        <v>208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5">
      <c r="B50" s="8" t="s">
        <v>95</v>
      </c>
      <c r="C50" s="3" t="s">
        <v>10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5">
      <c r="C51" s="3" t="s">
        <v>267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5">
      <c r="C52" s="3" t="s">
        <v>209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5">
      <c r="C53" s="3" t="s">
        <v>208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5">
      <c r="C54" s="3"/>
      <c r="D54" s="3"/>
    </row>
    <row r="55" spans="1:16" s="68" customFormat="1" ht="13" customHeight="1" x14ac:dyDescent="0.3">
      <c r="A55" s="67" t="s">
        <v>271</v>
      </c>
    </row>
    <row r="56" spans="1:16" ht="26" customHeight="1" x14ac:dyDescent="0.3">
      <c r="A56" s="39" t="s">
        <v>121</v>
      </c>
      <c r="B56" s="4" t="s">
        <v>265</v>
      </c>
      <c r="C56" s="69" t="s">
        <v>272</v>
      </c>
      <c r="D56" s="70" t="s">
        <v>122</v>
      </c>
      <c r="E56" s="70" t="s">
        <v>123</v>
      </c>
      <c r="F56" s="70" t="s">
        <v>124</v>
      </c>
      <c r="G56" s="70" t="s">
        <v>125</v>
      </c>
      <c r="H56" s="79"/>
      <c r="M56" s="79"/>
      <c r="N56" s="79"/>
      <c r="O56" s="79"/>
      <c r="P56" s="79"/>
    </row>
    <row r="57" spans="1:16" ht="13" customHeight="1" x14ac:dyDescent="0.3">
      <c r="A57" s="4"/>
      <c r="B57" s="8" t="s">
        <v>101</v>
      </c>
      <c r="C57" s="3" t="s">
        <v>273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5">
      <c r="C58" s="3" t="s">
        <v>274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5">
      <c r="B59" s="8" t="s">
        <v>102</v>
      </c>
      <c r="C59" s="3" t="s">
        <v>273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5">
      <c r="C60" s="3" t="s">
        <v>274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5">
      <c r="B61" s="8" t="s">
        <v>103</v>
      </c>
      <c r="C61" s="3" t="s">
        <v>273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5">
      <c r="C62" s="3" t="s">
        <v>274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5">
      <c r="C63" s="3"/>
      <c r="D63" s="3"/>
    </row>
    <row r="64" spans="1:16" s="68" customFormat="1" ht="13" customHeight="1" x14ac:dyDescent="0.3">
      <c r="A64" s="67" t="s">
        <v>275</v>
      </c>
    </row>
    <row r="65" spans="1:16" ht="26" customHeight="1" x14ac:dyDescent="0.3">
      <c r="A65" s="39" t="s">
        <v>128</v>
      </c>
      <c r="B65" s="4" t="s">
        <v>265</v>
      </c>
      <c r="C65" s="69" t="s">
        <v>276</v>
      </c>
      <c r="D65" s="70" t="s">
        <v>109</v>
      </c>
      <c r="E65" s="70" t="s">
        <v>96</v>
      </c>
      <c r="F65" s="70" t="s">
        <v>97</v>
      </c>
      <c r="G65" s="70" t="s">
        <v>98</v>
      </c>
      <c r="H65" s="81" t="s">
        <v>99</v>
      </c>
      <c r="I65" s="79"/>
      <c r="J65" s="79"/>
      <c r="K65" s="79"/>
      <c r="L65" s="79"/>
      <c r="M65" s="79"/>
      <c r="N65" s="79"/>
      <c r="O65" s="79"/>
      <c r="P65" s="79"/>
    </row>
    <row r="66" spans="1:16" ht="13" customHeight="1" x14ac:dyDescent="0.3">
      <c r="A66" s="82"/>
      <c r="B66" s="8" t="s">
        <v>78</v>
      </c>
      <c r="C66" s="3" t="s">
        <v>129</v>
      </c>
      <c r="D66" s="90">
        <v>1.35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5">
      <c r="C67" s="3" t="s">
        <v>130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5">
      <c r="C68" s="3" t="s">
        <v>131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5">
      <c r="C69" s="3" t="s">
        <v>132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5">
      <c r="B70" s="8" t="s">
        <v>79</v>
      </c>
      <c r="C70" s="3" t="s">
        <v>129</v>
      </c>
      <c r="D70" s="90">
        <v>1.35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5">
      <c r="C71" s="3" t="s">
        <v>130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5">
      <c r="C72" s="3" t="s">
        <v>131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5">
      <c r="C73" s="3" t="s">
        <v>132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5">
      <c r="B74" s="8" t="s">
        <v>80</v>
      </c>
      <c r="C74" s="3" t="s">
        <v>129</v>
      </c>
      <c r="D74" s="90">
        <v>1.35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5">
      <c r="C75" s="3" t="s">
        <v>130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5">
      <c r="C76" s="3" t="s">
        <v>131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5">
      <c r="C77" s="3" t="s">
        <v>132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5">
      <c r="B78" s="8" t="s">
        <v>82</v>
      </c>
      <c r="C78" s="3" t="s">
        <v>129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5">
      <c r="C79" s="3" t="s">
        <v>130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5">
      <c r="C80" s="3" t="s">
        <v>131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5">
      <c r="C81" s="3" t="s">
        <v>132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5">
      <c r="B82" s="8" t="s">
        <v>87</v>
      </c>
      <c r="C82" s="3" t="s">
        <v>129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5">
      <c r="C83" s="3" t="s">
        <v>130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5">
      <c r="C84" s="3" t="s">
        <v>131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5">
      <c r="C85" s="3" t="s">
        <v>132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5">
      <c r="B86" s="8" t="s">
        <v>88</v>
      </c>
      <c r="C86" s="3" t="s">
        <v>129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5">
      <c r="C87" s="3" t="s">
        <v>130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5">
      <c r="C88" s="3" t="s">
        <v>131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5">
      <c r="C89" s="3" t="s">
        <v>132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5">
      <c r="B90" s="8" t="s">
        <v>90</v>
      </c>
      <c r="C90" s="3" t="s">
        <v>129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5">
      <c r="C91" s="3" t="s">
        <v>130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5">
      <c r="C92" s="3" t="s">
        <v>131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5">
      <c r="C93" s="3" t="s">
        <v>132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5">
      <c r="B94" s="8" t="s">
        <v>89</v>
      </c>
      <c r="C94" s="3" t="s">
        <v>129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5">
      <c r="C95" s="3" t="s">
        <v>130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5">
      <c r="C96" s="3" t="s">
        <v>131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5">
      <c r="C97" s="3" t="s">
        <v>132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5">
      <c r="B98" s="8" t="s">
        <v>92</v>
      </c>
      <c r="C98" s="3" t="s">
        <v>129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5">
      <c r="C99" s="3" t="s">
        <v>130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5">
      <c r="C100" s="3" t="s">
        <v>131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5">
      <c r="C101" s="3" t="s">
        <v>132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ht="13" customHeight="1" x14ac:dyDescent="0.3">
      <c r="A103" s="67" t="s">
        <v>277</v>
      </c>
    </row>
    <row r="104" spans="1:16" ht="26" customHeight="1" x14ac:dyDescent="0.3">
      <c r="A104" s="39" t="s">
        <v>87</v>
      </c>
      <c r="B104" s="82" t="s">
        <v>132</v>
      </c>
      <c r="C104" s="69" t="s">
        <v>276</v>
      </c>
      <c r="D104" s="70" t="s">
        <v>109</v>
      </c>
      <c r="E104" s="70" t="s">
        <v>96</v>
      </c>
      <c r="F104" s="70" t="s">
        <v>97</v>
      </c>
      <c r="G104" s="70" t="s">
        <v>98</v>
      </c>
      <c r="H104" s="81" t="s">
        <v>99</v>
      </c>
      <c r="I104" s="79"/>
      <c r="J104" s="79"/>
      <c r="K104" s="79"/>
      <c r="L104" s="79"/>
      <c r="M104" s="79"/>
      <c r="N104" s="79"/>
      <c r="O104" s="79"/>
      <c r="P104" s="79"/>
    </row>
    <row r="105" spans="1:16" ht="13" customHeight="1" x14ac:dyDescent="0.3">
      <c r="A105" s="4"/>
      <c r="C105" s="3" t="s">
        <v>129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5">
      <c r="C106" s="3" t="s">
        <v>130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5">
      <c r="C107" s="3" t="s">
        <v>131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5">
      <c r="C108" s="3" t="s">
        <v>132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ht="13" customHeight="1" x14ac:dyDescent="0.3">
      <c r="A110" s="92" t="s">
        <v>235</v>
      </c>
      <c r="H110" s="92"/>
    </row>
    <row r="111" spans="1:16" ht="13" customHeight="1" x14ac:dyDescent="0.3">
      <c r="A111" s="67" t="s">
        <v>264</v>
      </c>
      <c r="B111" s="68"/>
      <c r="C111" s="68"/>
      <c r="D111" s="68"/>
      <c r="E111" s="68"/>
      <c r="F111" s="68"/>
      <c r="G111" s="68"/>
      <c r="H111" s="68"/>
    </row>
    <row r="112" spans="1:16" ht="13" customHeight="1" x14ac:dyDescent="0.3">
      <c r="A112" s="39" t="s">
        <v>226</v>
      </c>
      <c r="B112" s="1" t="s">
        <v>265</v>
      </c>
      <c r="C112" s="1" t="s">
        <v>266</v>
      </c>
      <c r="D112" s="70" t="s">
        <v>109</v>
      </c>
      <c r="E112" s="70" t="s">
        <v>96</v>
      </c>
      <c r="F112" s="70" t="s">
        <v>97</v>
      </c>
      <c r="G112" s="70" t="s">
        <v>98</v>
      </c>
      <c r="H112" s="70" t="s">
        <v>99</v>
      </c>
    </row>
    <row r="113" spans="1:8" ht="13" customHeight="1" x14ac:dyDescent="0.3">
      <c r="A113" s="4"/>
      <c r="B113" s="8" t="s">
        <v>87</v>
      </c>
      <c r="C113" s="3" t="s">
        <v>10</v>
      </c>
      <c r="D113" s="91">
        <f t="shared" ref="D113:H122" si="0">IF(D3=1,1,D3*0.9)</f>
        <v>1</v>
      </c>
      <c r="E113" s="91">
        <f t="shared" si="0"/>
        <v>1</v>
      </c>
      <c r="F113" s="91">
        <f t="shared" si="0"/>
        <v>1</v>
      </c>
      <c r="G113" s="91">
        <f t="shared" si="0"/>
        <v>1</v>
      </c>
      <c r="H113" s="91">
        <f t="shared" si="0"/>
        <v>1</v>
      </c>
    </row>
    <row r="114" spans="1:8" x14ac:dyDescent="0.25">
      <c r="C114" s="3" t="s">
        <v>267</v>
      </c>
      <c r="D114" s="91">
        <f t="shared" si="0"/>
        <v>1</v>
      </c>
      <c r="E114" s="91">
        <f t="shared" si="0"/>
        <v>1.5029999999999999</v>
      </c>
      <c r="F114" s="91">
        <f t="shared" si="0"/>
        <v>1.5029999999999999</v>
      </c>
      <c r="G114" s="91">
        <f t="shared" si="0"/>
        <v>1.5029999999999999</v>
      </c>
      <c r="H114" s="91">
        <f t="shared" si="0"/>
        <v>1.5029999999999999</v>
      </c>
    </row>
    <row r="115" spans="1:8" x14ac:dyDescent="0.25">
      <c r="C115" s="3" t="s">
        <v>268</v>
      </c>
      <c r="D115" s="91">
        <f t="shared" si="0"/>
        <v>1</v>
      </c>
      <c r="E115" s="91">
        <f t="shared" si="0"/>
        <v>2.1419999999999999</v>
      </c>
      <c r="F115" s="91">
        <f t="shared" si="0"/>
        <v>2.1419999999999999</v>
      </c>
      <c r="G115" s="91">
        <f t="shared" si="0"/>
        <v>2.1419999999999999</v>
      </c>
      <c r="H115" s="91">
        <f t="shared" si="0"/>
        <v>2.1419999999999999</v>
      </c>
    </row>
    <row r="116" spans="1:8" x14ac:dyDescent="0.25">
      <c r="C116" s="3" t="s">
        <v>269</v>
      </c>
      <c r="D116" s="91">
        <f t="shared" si="0"/>
        <v>1</v>
      </c>
      <c r="E116" s="91">
        <f t="shared" si="0"/>
        <v>5.6970000000000001</v>
      </c>
      <c r="F116" s="91">
        <f t="shared" si="0"/>
        <v>5.6970000000000001</v>
      </c>
      <c r="G116" s="91">
        <f t="shared" si="0"/>
        <v>5.6970000000000001</v>
      </c>
      <c r="H116" s="91">
        <f t="shared" si="0"/>
        <v>5.6970000000000001</v>
      </c>
    </row>
    <row r="117" spans="1:8" x14ac:dyDescent="0.25">
      <c r="B117" s="8" t="s">
        <v>88</v>
      </c>
      <c r="C117" s="3" t="s">
        <v>10</v>
      </c>
      <c r="D117" s="91">
        <f t="shared" si="0"/>
        <v>1</v>
      </c>
      <c r="E117" s="91">
        <f t="shared" si="0"/>
        <v>1</v>
      </c>
      <c r="F117" s="91">
        <f t="shared" si="0"/>
        <v>1</v>
      </c>
      <c r="G117" s="91">
        <f t="shared" si="0"/>
        <v>1</v>
      </c>
      <c r="H117" s="91">
        <f t="shared" si="0"/>
        <v>1</v>
      </c>
    </row>
    <row r="118" spans="1:8" x14ac:dyDescent="0.25">
      <c r="C118" s="3" t="s">
        <v>267</v>
      </c>
      <c r="D118" s="91">
        <f t="shared" si="0"/>
        <v>1</v>
      </c>
      <c r="E118" s="91">
        <f t="shared" si="0"/>
        <v>1.395</v>
      </c>
      <c r="F118" s="91">
        <f t="shared" si="0"/>
        <v>1.395</v>
      </c>
      <c r="G118" s="91">
        <f t="shared" si="0"/>
        <v>1.395</v>
      </c>
      <c r="H118" s="91">
        <f t="shared" si="0"/>
        <v>1.395</v>
      </c>
    </row>
    <row r="119" spans="1:8" x14ac:dyDescent="0.25">
      <c r="C119" s="3" t="s">
        <v>268</v>
      </c>
      <c r="D119" s="91">
        <f t="shared" si="0"/>
        <v>1</v>
      </c>
      <c r="E119" s="91">
        <f t="shared" si="0"/>
        <v>1.9620000000000002</v>
      </c>
      <c r="F119" s="91">
        <f t="shared" si="0"/>
        <v>1.9620000000000002</v>
      </c>
      <c r="G119" s="91">
        <f t="shared" si="0"/>
        <v>1.9620000000000002</v>
      </c>
      <c r="H119" s="91">
        <f t="shared" si="0"/>
        <v>1.9620000000000002</v>
      </c>
    </row>
    <row r="120" spans="1:8" x14ac:dyDescent="0.25">
      <c r="C120" s="3" t="s">
        <v>269</v>
      </c>
      <c r="D120" s="91">
        <f t="shared" si="0"/>
        <v>1</v>
      </c>
      <c r="E120" s="91">
        <f t="shared" si="0"/>
        <v>5.7509999999999994</v>
      </c>
      <c r="F120" s="91">
        <f t="shared" si="0"/>
        <v>5.7509999999999994</v>
      </c>
      <c r="G120" s="91">
        <f t="shared" si="0"/>
        <v>5.7509999999999994</v>
      </c>
      <c r="H120" s="91">
        <f t="shared" si="0"/>
        <v>5.7509999999999994</v>
      </c>
    </row>
    <row r="121" spans="1:8" x14ac:dyDescent="0.25">
      <c r="B121" s="8" t="s">
        <v>90</v>
      </c>
      <c r="C121" s="3" t="s">
        <v>10</v>
      </c>
      <c r="D121" s="91">
        <f t="shared" si="0"/>
        <v>1</v>
      </c>
      <c r="E121" s="91">
        <f t="shared" si="0"/>
        <v>1</v>
      </c>
      <c r="F121" s="91">
        <f t="shared" si="0"/>
        <v>1</v>
      </c>
      <c r="G121" s="91">
        <f t="shared" si="0"/>
        <v>1</v>
      </c>
      <c r="H121" s="91">
        <f t="shared" si="0"/>
        <v>1</v>
      </c>
    </row>
    <row r="122" spans="1:8" x14ac:dyDescent="0.25">
      <c r="C122" s="3" t="s">
        <v>267</v>
      </c>
      <c r="D122" s="91">
        <f t="shared" si="0"/>
        <v>1</v>
      </c>
      <c r="E122" s="91">
        <f t="shared" si="0"/>
        <v>1</v>
      </c>
      <c r="F122" s="91">
        <f t="shared" si="0"/>
        <v>1</v>
      </c>
      <c r="G122" s="91">
        <f t="shared" si="0"/>
        <v>1</v>
      </c>
      <c r="H122" s="91">
        <f t="shared" si="0"/>
        <v>1</v>
      </c>
    </row>
    <row r="123" spans="1:8" x14ac:dyDescent="0.25">
      <c r="C123" s="3" t="s">
        <v>268</v>
      </c>
      <c r="D123" s="91">
        <f t="shared" ref="D123:H132" si="1">IF(D13=1,1,D13*0.9)</f>
        <v>1</v>
      </c>
      <c r="E123" s="91">
        <f t="shared" si="1"/>
        <v>2.5110000000000001</v>
      </c>
      <c r="F123" s="91">
        <f t="shared" si="1"/>
        <v>2.5110000000000001</v>
      </c>
      <c r="G123" s="91">
        <f t="shared" si="1"/>
        <v>2.5110000000000001</v>
      </c>
      <c r="H123" s="91">
        <f t="shared" si="1"/>
        <v>2.5110000000000001</v>
      </c>
    </row>
    <row r="124" spans="1:8" x14ac:dyDescent="0.25">
      <c r="C124" s="3" t="s">
        <v>269</v>
      </c>
      <c r="D124" s="91">
        <f t="shared" si="1"/>
        <v>1</v>
      </c>
      <c r="E124" s="91">
        <f t="shared" si="1"/>
        <v>5.4089999999999998</v>
      </c>
      <c r="F124" s="91">
        <f t="shared" si="1"/>
        <v>5.4089999999999998</v>
      </c>
      <c r="G124" s="91">
        <f t="shared" si="1"/>
        <v>5.4089999999999998</v>
      </c>
      <c r="H124" s="91">
        <f t="shared" si="1"/>
        <v>5.4089999999999998</v>
      </c>
    </row>
    <row r="125" spans="1:8" x14ac:dyDescent="0.25">
      <c r="B125" s="8" t="s">
        <v>91</v>
      </c>
      <c r="C125" s="3" t="s">
        <v>10</v>
      </c>
      <c r="D125" s="91">
        <f t="shared" si="1"/>
        <v>1</v>
      </c>
      <c r="E125" s="91">
        <f t="shared" si="1"/>
        <v>1</v>
      </c>
      <c r="F125" s="91">
        <f t="shared" si="1"/>
        <v>1</v>
      </c>
      <c r="G125" s="91">
        <f t="shared" si="1"/>
        <v>1</v>
      </c>
      <c r="H125" s="91">
        <f t="shared" si="1"/>
        <v>1</v>
      </c>
    </row>
    <row r="126" spans="1:8" x14ac:dyDescent="0.25">
      <c r="C126" s="3" t="s">
        <v>267</v>
      </c>
      <c r="D126" s="91">
        <f t="shared" si="1"/>
        <v>1</v>
      </c>
      <c r="E126" s="91">
        <f t="shared" si="1"/>
        <v>1</v>
      </c>
      <c r="F126" s="91">
        <f t="shared" si="1"/>
        <v>1</v>
      </c>
      <c r="G126" s="91">
        <f t="shared" si="1"/>
        <v>1</v>
      </c>
      <c r="H126" s="91">
        <f t="shared" si="1"/>
        <v>1</v>
      </c>
    </row>
    <row r="127" spans="1:8" x14ac:dyDescent="0.25">
      <c r="C127" s="3" t="s">
        <v>268</v>
      </c>
      <c r="D127" s="91">
        <f t="shared" si="1"/>
        <v>1</v>
      </c>
      <c r="E127" s="91">
        <f t="shared" si="1"/>
        <v>1</v>
      </c>
      <c r="F127" s="91">
        <f t="shared" si="1"/>
        <v>1</v>
      </c>
      <c r="G127" s="91">
        <f t="shared" si="1"/>
        <v>1</v>
      </c>
      <c r="H127" s="91">
        <f t="shared" si="1"/>
        <v>1</v>
      </c>
    </row>
    <row r="128" spans="1:8" x14ac:dyDescent="0.25">
      <c r="C128" s="3" t="s">
        <v>269</v>
      </c>
      <c r="D128" s="91">
        <f t="shared" si="1"/>
        <v>1</v>
      </c>
      <c r="E128" s="91">
        <f t="shared" si="1"/>
        <v>1</v>
      </c>
      <c r="F128" s="91">
        <f t="shared" si="1"/>
        <v>1</v>
      </c>
      <c r="G128" s="91">
        <f t="shared" si="1"/>
        <v>1</v>
      </c>
      <c r="H128" s="91">
        <f t="shared" si="1"/>
        <v>1</v>
      </c>
    </row>
    <row r="129" spans="1:8" x14ac:dyDescent="0.25">
      <c r="B129" s="8" t="s">
        <v>89</v>
      </c>
      <c r="C129" s="3" t="s">
        <v>10</v>
      </c>
      <c r="D129" s="91">
        <f t="shared" si="1"/>
        <v>1</v>
      </c>
      <c r="E129" s="91">
        <f t="shared" si="1"/>
        <v>1</v>
      </c>
      <c r="F129" s="91">
        <f t="shared" si="1"/>
        <v>1</v>
      </c>
      <c r="G129" s="91">
        <f t="shared" si="1"/>
        <v>1</v>
      </c>
      <c r="H129" s="91">
        <f t="shared" si="1"/>
        <v>1</v>
      </c>
    </row>
    <row r="130" spans="1:8" x14ac:dyDescent="0.25">
      <c r="C130" s="3" t="s">
        <v>267</v>
      </c>
      <c r="D130" s="91">
        <f t="shared" si="1"/>
        <v>1</v>
      </c>
      <c r="E130" s="91">
        <f t="shared" si="1"/>
        <v>1</v>
      </c>
      <c r="F130" s="91">
        <f t="shared" si="1"/>
        <v>1</v>
      </c>
      <c r="G130" s="91">
        <f t="shared" si="1"/>
        <v>1</v>
      </c>
      <c r="H130" s="91">
        <f t="shared" si="1"/>
        <v>1</v>
      </c>
    </row>
    <row r="131" spans="1:8" x14ac:dyDescent="0.25">
      <c r="C131" s="3" t="s">
        <v>268</v>
      </c>
      <c r="D131" s="91">
        <f t="shared" si="1"/>
        <v>1</v>
      </c>
      <c r="E131" s="91">
        <f t="shared" si="1"/>
        <v>1.6740000000000002</v>
      </c>
      <c r="F131" s="91">
        <f t="shared" si="1"/>
        <v>1.6740000000000002</v>
      </c>
      <c r="G131" s="91">
        <f t="shared" si="1"/>
        <v>1.6740000000000002</v>
      </c>
      <c r="H131" s="91">
        <f t="shared" si="1"/>
        <v>1.6740000000000002</v>
      </c>
    </row>
    <row r="132" spans="1:8" x14ac:dyDescent="0.25">
      <c r="C132" s="3" t="s">
        <v>269</v>
      </c>
      <c r="D132" s="91">
        <f t="shared" si="1"/>
        <v>1</v>
      </c>
      <c r="E132" s="91">
        <f t="shared" si="1"/>
        <v>2.7090000000000001</v>
      </c>
      <c r="F132" s="91">
        <f t="shared" si="1"/>
        <v>2.7090000000000001</v>
      </c>
      <c r="G132" s="91">
        <f t="shared" si="1"/>
        <v>2.7090000000000001</v>
      </c>
      <c r="H132" s="91">
        <f t="shared" si="1"/>
        <v>2.7090000000000001</v>
      </c>
    </row>
    <row r="133" spans="1:8" x14ac:dyDescent="0.25">
      <c r="B133" s="8" t="s">
        <v>95</v>
      </c>
      <c r="C133" s="3" t="s">
        <v>10</v>
      </c>
      <c r="D133" s="91">
        <f t="shared" ref="D133:H136" si="2">IF(D23=1,1,D23*0.9)</f>
        <v>1</v>
      </c>
      <c r="E133" s="91">
        <f t="shared" si="2"/>
        <v>1</v>
      </c>
      <c r="F133" s="91">
        <f t="shared" si="2"/>
        <v>1</v>
      </c>
      <c r="G133" s="91">
        <f t="shared" si="2"/>
        <v>1</v>
      </c>
      <c r="H133" s="91">
        <f t="shared" si="2"/>
        <v>1</v>
      </c>
    </row>
    <row r="134" spans="1:8" x14ac:dyDescent="0.25">
      <c r="C134" s="3" t="s">
        <v>267</v>
      </c>
      <c r="D134" s="91">
        <f t="shared" si="2"/>
        <v>1</v>
      </c>
      <c r="E134" s="91">
        <f t="shared" si="2"/>
        <v>1</v>
      </c>
      <c r="F134" s="91">
        <f t="shared" si="2"/>
        <v>1</v>
      </c>
      <c r="G134" s="91">
        <f t="shared" si="2"/>
        <v>1</v>
      </c>
      <c r="H134" s="91">
        <f t="shared" si="2"/>
        <v>1</v>
      </c>
    </row>
    <row r="135" spans="1:8" x14ac:dyDescent="0.25">
      <c r="C135" s="3" t="s">
        <v>268</v>
      </c>
      <c r="D135" s="91">
        <f t="shared" si="2"/>
        <v>1</v>
      </c>
      <c r="E135" s="91">
        <f t="shared" si="2"/>
        <v>1.6740000000000002</v>
      </c>
      <c r="F135" s="91">
        <f t="shared" si="2"/>
        <v>1.6740000000000002</v>
      </c>
      <c r="G135" s="91">
        <f t="shared" si="2"/>
        <v>1.6740000000000002</v>
      </c>
      <c r="H135" s="91">
        <f t="shared" si="2"/>
        <v>1.6740000000000002</v>
      </c>
    </row>
    <row r="136" spans="1:8" x14ac:dyDescent="0.25">
      <c r="C136" s="3" t="s">
        <v>269</v>
      </c>
      <c r="D136" s="91">
        <f t="shared" si="2"/>
        <v>1</v>
      </c>
      <c r="E136" s="91">
        <f t="shared" si="2"/>
        <v>2.7090000000000001</v>
      </c>
      <c r="F136" s="91">
        <f t="shared" si="2"/>
        <v>2.7090000000000001</v>
      </c>
      <c r="G136" s="91">
        <f t="shared" si="2"/>
        <v>2.7090000000000001</v>
      </c>
      <c r="H136" s="91">
        <f t="shared" si="2"/>
        <v>2.7090000000000001</v>
      </c>
    </row>
    <row r="138" spans="1:8" ht="13" customHeight="1" x14ac:dyDescent="0.3">
      <c r="A138" s="67" t="s">
        <v>278</v>
      </c>
      <c r="B138" s="68"/>
      <c r="C138" s="68"/>
      <c r="D138" s="68"/>
      <c r="E138" s="68"/>
      <c r="F138" s="68"/>
      <c r="G138" s="68"/>
      <c r="H138" s="68"/>
    </row>
    <row r="139" spans="1:8" ht="13" customHeight="1" x14ac:dyDescent="0.3">
      <c r="A139" s="39" t="s">
        <v>279</v>
      </c>
      <c r="B139" s="4" t="s">
        <v>265</v>
      </c>
      <c r="C139" s="4" t="s">
        <v>270</v>
      </c>
      <c r="D139" s="70" t="s">
        <v>109</v>
      </c>
      <c r="E139" s="70" t="s">
        <v>96</v>
      </c>
      <c r="F139" s="70" t="s">
        <v>97</v>
      </c>
      <c r="G139" s="70" t="s">
        <v>98</v>
      </c>
      <c r="H139" s="70" t="s">
        <v>99</v>
      </c>
    </row>
    <row r="140" spans="1:8" ht="13" customHeight="1" x14ac:dyDescent="0.3">
      <c r="A140" s="4"/>
      <c r="B140" s="8" t="s">
        <v>87</v>
      </c>
      <c r="C140" s="3" t="s">
        <v>10</v>
      </c>
      <c r="D140" s="91">
        <f t="shared" ref="D140:H149" si="3">IF(D30=1,1,D30*0.9)</f>
        <v>1</v>
      </c>
      <c r="E140" s="91">
        <f t="shared" si="3"/>
        <v>1</v>
      </c>
      <c r="F140" s="91">
        <f t="shared" si="3"/>
        <v>1</v>
      </c>
      <c r="G140" s="91">
        <f t="shared" si="3"/>
        <v>1</v>
      </c>
      <c r="H140" s="91">
        <f t="shared" si="3"/>
        <v>1</v>
      </c>
    </row>
    <row r="141" spans="1:8" x14ac:dyDescent="0.25">
      <c r="C141" s="3" t="s">
        <v>267</v>
      </c>
      <c r="D141" s="91">
        <f t="shared" si="3"/>
        <v>1</v>
      </c>
      <c r="E141" s="91">
        <f t="shared" si="3"/>
        <v>1.4400000000000002</v>
      </c>
      <c r="F141" s="91">
        <f t="shared" si="3"/>
        <v>1.4400000000000002</v>
      </c>
      <c r="G141" s="91">
        <f t="shared" si="3"/>
        <v>1.4400000000000002</v>
      </c>
      <c r="H141" s="91">
        <f t="shared" si="3"/>
        <v>1.4400000000000002</v>
      </c>
    </row>
    <row r="142" spans="1:8" x14ac:dyDescent="0.25">
      <c r="C142" s="3" t="s">
        <v>209</v>
      </c>
      <c r="D142" s="91">
        <f t="shared" si="3"/>
        <v>1</v>
      </c>
      <c r="E142" s="91">
        <f t="shared" si="3"/>
        <v>3.0690000000000004</v>
      </c>
      <c r="F142" s="91">
        <f t="shared" si="3"/>
        <v>3.0690000000000004</v>
      </c>
      <c r="G142" s="91">
        <f t="shared" si="3"/>
        <v>3.0690000000000004</v>
      </c>
      <c r="H142" s="91">
        <f t="shared" si="3"/>
        <v>3.0690000000000004</v>
      </c>
    </row>
    <row r="143" spans="1:8" x14ac:dyDescent="0.25">
      <c r="C143" s="3" t="s">
        <v>208</v>
      </c>
      <c r="D143" s="91">
        <f t="shared" si="3"/>
        <v>1</v>
      </c>
      <c r="E143" s="91">
        <f t="shared" si="3"/>
        <v>11.097</v>
      </c>
      <c r="F143" s="91">
        <f t="shared" si="3"/>
        <v>11.097</v>
      </c>
      <c r="G143" s="91">
        <f t="shared" si="3"/>
        <v>11.097</v>
      </c>
      <c r="H143" s="91">
        <f t="shared" si="3"/>
        <v>11.097</v>
      </c>
    </row>
    <row r="144" spans="1:8" x14ac:dyDescent="0.25">
      <c r="B144" s="8" t="s">
        <v>88</v>
      </c>
      <c r="C144" s="3" t="s">
        <v>10</v>
      </c>
      <c r="D144" s="91">
        <f t="shared" si="3"/>
        <v>1</v>
      </c>
      <c r="E144" s="91">
        <f t="shared" si="3"/>
        <v>1</v>
      </c>
      <c r="F144" s="91">
        <f t="shared" si="3"/>
        <v>1</v>
      </c>
      <c r="G144" s="91">
        <f t="shared" si="3"/>
        <v>1</v>
      </c>
      <c r="H144" s="91">
        <f t="shared" si="3"/>
        <v>1</v>
      </c>
    </row>
    <row r="145" spans="2:8" x14ac:dyDescent="0.25">
      <c r="C145" s="3" t="s">
        <v>267</v>
      </c>
      <c r="D145" s="91">
        <f t="shared" si="3"/>
        <v>1</v>
      </c>
      <c r="E145" s="91">
        <f t="shared" si="3"/>
        <v>1.728</v>
      </c>
      <c r="F145" s="91">
        <f t="shared" si="3"/>
        <v>1.728</v>
      </c>
      <c r="G145" s="91">
        <f t="shared" si="3"/>
        <v>1.728</v>
      </c>
      <c r="H145" s="91">
        <f t="shared" si="3"/>
        <v>1.728</v>
      </c>
    </row>
    <row r="146" spans="2:8" x14ac:dyDescent="0.25">
      <c r="C146" s="3" t="s">
        <v>209</v>
      </c>
      <c r="D146" s="91">
        <f t="shared" si="3"/>
        <v>1</v>
      </c>
      <c r="E146" s="91">
        <f t="shared" si="3"/>
        <v>4.194</v>
      </c>
      <c r="F146" s="91">
        <f t="shared" si="3"/>
        <v>4.194</v>
      </c>
      <c r="G146" s="91">
        <f t="shared" si="3"/>
        <v>4.194</v>
      </c>
      <c r="H146" s="91">
        <f t="shared" si="3"/>
        <v>4.194</v>
      </c>
    </row>
    <row r="147" spans="2:8" x14ac:dyDescent="0.25">
      <c r="C147" s="3" t="s">
        <v>208</v>
      </c>
      <c r="D147" s="91">
        <f t="shared" si="3"/>
        <v>1</v>
      </c>
      <c r="E147" s="91">
        <f t="shared" si="3"/>
        <v>8.7119999999999997</v>
      </c>
      <c r="F147" s="91">
        <f t="shared" si="3"/>
        <v>8.7119999999999997</v>
      </c>
      <c r="G147" s="91">
        <f t="shared" si="3"/>
        <v>8.7119999999999997</v>
      </c>
      <c r="H147" s="91">
        <f t="shared" si="3"/>
        <v>8.7119999999999997</v>
      </c>
    </row>
    <row r="148" spans="2:8" x14ac:dyDescent="0.25">
      <c r="B148" s="8" t="s">
        <v>90</v>
      </c>
      <c r="C148" s="3" t="s">
        <v>10</v>
      </c>
      <c r="D148" s="91">
        <f t="shared" si="3"/>
        <v>1</v>
      </c>
      <c r="E148" s="91">
        <f t="shared" si="3"/>
        <v>1</v>
      </c>
      <c r="F148" s="91">
        <f t="shared" si="3"/>
        <v>1</v>
      </c>
      <c r="G148" s="91">
        <f t="shared" si="3"/>
        <v>1</v>
      </c>
      <c r="H148" s="91">
        <f t="shared" si="3"/>
        <v>1</v>
      </c>
    </row>
    <row r="149" spans="2:8" x14ac:dyDescent="0.25">
      <c r="C149" s="3" t="s">
        <v>267</v>
      </c>
      <c r="D149" s="91">
        <f t="shared" si="3"/>
        <v>1</v>
      </c>
      <c r="E149" s="91">
        <f t="shared" si="3"/>
        <v>1</v>
      </c>
      <c r="F149" s="91">
        <f t="shared" si="3"/>
        <v>1</v>
      </c>
      <c r="G149" s="91">
        <f t="shared" si="3"/>
        <v>1</v>
      </c>
      <c r="H149" s="91">
        <f t="shared" si="3"/>
        <v>1</v>
      </c>
    </row>
    <row r="150" spans="2:8" x14ac:dyDescent="0.25">
      <c r="C150" s="3" t="s">
        <v>209</v>
      </c>
      <c r="D150" s="91">
        <f t="shared" ref="D150:H159" si="4">IF(D40=1,1,D40*0.9)</f>
        <v>1</v>
      </c>
      <c r="E150" s="91">
        <f t="shared" si="4"/>
        <v>2.3220000000000001</v>
      </c>
      <c r="F150" s="91">
        <f t="shared" si="4"/>
        <v>2.3220000000000001</v>
      </c>
      <c r="G150" s="91">
        <f t="shared" si="4"/>
        <v>2.3220000000000001</v>
      </c>
      <c r="H150" s="91">
        <f t="shared" si="4"/>
        <v>2.3220000000000001</v>
      </c>
    </row>
    <row r="151" spans="2:8" x14ac:dyDescent="0.25">
      <c r="C151" s="3" t="s">
        <v>208</v>
      </c>
      <c r="D151" s="91">
        <f t="shared" si="4"/>
        <v>1</v>
      </c>
      <c r="E151" s="91">
        <f t="shared" si="4"/>
        <v>8.6670000000000016</v>
      </c>
      <c r="F151" s="91">
        <f t="shared" si="4"/>
        <v>8.6670000000000016</v>
      </c>
      <c r="G151" s="91">
        <f t="shared" si="4"/>
        <v>8.6670000000000016</v>
      </c>
      <c r="H151" s="91">
        <f t="shared" si="4"/>
        <v>8.6670000000000016</v>
      </c>
    </row>
    <row r="152" spans="2:8" x14ac:dyDescent="0.25">
      <c r="B152" s="8" t="s">
        <v>91</v>
      </c>
      <c r="C152" s="3" t="s">
        <v>10</v>
      </c>
      <c r="D152" s="91">
        <f t="shared" si="4"/>
        <v>1</v>
      </c>
      <c r="E152" s="91">
        <f t="shared" si="4"/>
        <v>1</v>
      </c>
      <c r="F152" s="91">
        <f t="shared" si="4"/>
        <v>1</v>
      </c>
      <c r="G152" s="91">
        <f t="shared" si="4"/>
        <v>1</v>
      </c>
      <c r="H152" s="91">
        <f t="shared" si="4"/>
        <v>1</v>
      </c>
    </row>
    <row r="153" spans="2:8" x14ac:dyDescent="0.25">
      <c r="C153" s="3" t="s">
        <v>267</v>
      </c>
      <c r="D153" s="91">
        <f t="shared" si="4"/>
        <v>1</v>
      </c>
      <c r="E153" s="91">
        <f t="shared" si="4"/>
        <v>1</v>
      </c>
      <c r="F153" s="91">
        <f t="shared" si="4"/>
        <v>1</v>
      </c>
      <c r="G153" s="91">
        <f t="shared" si="4"/>
        <v>1</v>
      </c>
      <c r="H153" s="91">
        <f t="shared" si="4"/>
        <v>1</v>
      </c>
    </row>
    <row r="154" spans="2:8" x14ac:dyDescent="0.25">
      <c r="C154" s="3" t="s">
        <v>209</v>
      </c>
      <c r="D154" s="91">
        <f t="shared" si="4"/>
        <v>1</v>
      </c>
      <c r="E154" s="91">
        <f t="shared" si="4"/>
        <v>1</v>
      </c>
      <c r="F154" s="91">
        <f t="shared" si="4"/>
        <v>1</v>
      </c>
      <c r="G154" s="91">
        <f t="shared" si="4"/>
        <v>1</v>
      </c>
      <c r="H154" s="91">
        <f t="shared" si="4"/>
        <v>1</v>
      </c>
    </row>
    <row r="155" spans="2:8" x14ac:dyDescent="0.25">
      <c r="C155" s="3" t="s">
        <v>208</v>
      </c>
      <c r="D155" s="91">
        <f t="shared" si="4"/>
        <v>1</v>
      </c>
      <c r="E155" s="91">
        <f t="shared" si="4"/>
        <v>1</v>
      </c>
      <c r="F155" s="91">
        <f t="shared" si="4"/>
        <v>1</v>
      </c>
      <c r="G155" s="91">
        <f t="shared" si="4"/>
        <v>1</v>
      </c>
      <c r="H155" s="91">
        <f t="shared" si="4"/>
        <v>1</v>
      </c>
    </row>
    <row r="156" spans="2:8" x14ac:dyDescent="0.25">
      <c r="B156" s="8" t="s">
        <v>89</v>
      </c>
      <c r="C156" s="3" t="s">
        <v>10</v>
      </c>
      <c r="D156" s="91">
        <f t="shared" si="4"/>
        <v>1</v>
      </c>
      <c r="E156" s="91">
        <f t="shared" si="4"/>
        <v>1</v>
      </c>
      <c r="F156" s="91">
        <f t="shared" si="4"/>
        <v>1</v>
      </c>
      <c r="G156" s="91">
        <f t="shared" si="4"/>
        <v>1</v>
      </c>
      <c r="H156" s="91">
        <f t="shared" si="4"/>
        <v>1</v>
      </c>
    </row>
    <row r="157" spans="2:8" x14ac:dyDescent="0.25">
      <c r="C157" s="3" t="s">
        <v>267</v>
      </c>
      <c r="D157" s="91">
        <f t="shared" si="4"/>
        <v>1</v>
      </c>
      <c r="E157" s="91">
        <f t="shared" si="4"/>
        <v>1.4849999999999999</v>
      </c>
      <c r="F157" s="91">
        <f t="shared" si="4"/>
        <v>1.4849999999999999</v>
      </c>
      <c r="G157" s="91">
        <f t="shared" si="4"/>
        <v>1.4849999999999999</v>
      </c>
      <c r="H157" s="91">
        <f t="shared" si="4"/>
        <v>1.4849999999999999</v>
      </c>
    </row>
    <row r="158" spans="2:8" x14ac:dyDescent="0.25">
      <c r="C158" s="3" t="s">
        <v>209</v>
      </c>
      <c r="D158" s="91">
        <f t="shared" si="4"/>
        <v>1</v>
      </c>
      <c r="E158" s="91">
        <f t="shared" si="4"/>
        <v>2.4569999999999999</v>
      </c>
      <c r="F158" s="91">
        <f t="shared" si="4"/>
        <v>2.4569999999999999</v>
      </c>
      <c r="G158" s="91">
        <f t="shared" si="4"/>
        <v>2.4569999999999999</v>
      </c>
      <c r="H158" s="91">
        <f t="shared" si="4"/>
        <v>2.4569999999999999</v>
      </c>
    </row>
    <row r="159" spans="2:8" x14ac:dyDescent="0.25">
      <c r="C159" s="3" t="s">
        <v>208</v>
      </c>
      <c r="D159" s="91">
        <f t="shared" si="4"/>
        <v>1</v>
      </c>
      <c r="E159" s="91">
        <f t="shared" si="4"/>
        <v>10.089</v>
      </c>
      <c r="F159" s="91">
        <f t="shared" si="4"/>
        <v>10.089</v>
      </c>
      <c r="G159" s="91">
        <f t="shared" si="4"/>
        <v>10.089</v>
      </c>
      <c r="H159" s="91">
        <f t="shared" si="4"/>
        <v>10.089</v>
      </c>
    </row>
    <row r="160" spans="2:8" x14ac:dyDescent="0.25">
      <c r="B160" s="8" t="s">
        <v>95</v>
      </c>
      <c r="C160" s="3" t="s">
        <v>10</v>
      </c>
      <c r="D160" s="91">
        <f t="shared" ref="D160:H163" si="5">IF(D50=1,1,D50*0.9)</f>
        <v>1</v>
      </c>
      <c r="E160" s="91">
        <f t="shared" si="5"/>
        <v>1</v>
      </c>
      <c r="F160" s="91">
        <f t="shared" si="5"/>
        <v>1</v>
      </c>
      <c r="G160" s="91">
        <f t="shared" si="5"/>
        <v>1</v>
      </c>
      <c r="H160" s="91">
        <f t="shared" si="5"/>
        <v>1</v>
      </c>
    </row>
    <row r="161" spans="1:8" x14ac:dyDescent="0.25">
      <c r="C161" s="3" t="s">
        <v>267</v>
      </c>
      <c r="D161" s="91">
        <f t="shared" si="5"/>
        <v>1</v>
      </c>
      <c r="E161" s="91">
        <f t="shared" si="5"/>
        <v>1.4849999999999999</v>
      </c>
      <c r="F161" s="91">
        <f t="shared" si="5"/>
        <v>1.4849999999999999</v>
      </c>
      <c r="G161" s="91">
        <f t="shared" si="5"/>
        <v>1.4849999999999999</v>
      </c>
      <c r="H161" s="91">
        <f t="shared" si="5"/>
        <v>1.4849999999999999</v>
      </c>
    </row>
    <row r="162" spans="1:8" x14ac:dyDescent="0.25">
      <c r="C162" s="3" t="s">
        <v>209</v>
      </c>
      <c r="D162" s="91">
        <f t="shared" si="5"/>
        <v>1</v>
      </c>
      <c r="E162" s="91">
        <f t="shared" si="5"/>
        <v>2.4569999999999999</v>
      </c>
      <c r="F162" s="91">
        <f t="shared" si="5"/>
        <v>2.4569999999999999</v>
      </c>
      <c r="G162" s="91">
        <f t="shared" si="5"/>
        <v>2.4569999999999999</v>
      </c>
      <c r="H162" s="91">
        <f t="shared" si="5"/>
        <v>2.4569999999999999</v>
      </c>
    </row>
    <row r="163" spans="1:8" x14ac:dyDescent="0.25">
      <c r="C163" s="3" t="s">
        <v>208</v>
      </c>
      <c r="D163" s="91">
        <f t="shared" si="5"/>
        <v>1</v>
      </c>
      <c r="E163" s="91">
        <f t="shared" si="5"/>
        <v>10.089</v>
      </c>
      <c r="F163" s="91">
        <f t="shared" si="5"/>
        <v>10.089</v>
      </c>
      <c r="G163" s="91">
        <f t="shared" si="5"/>
        <v>10.089</v>
      </c>
      <c r="H163" s="91">
        <f t="shared" si="5"/>
        <v>10.089</v>
      </c>
    </row>
    <row r="164" spans="1:8" x14ac:dyDescent="0.25">
      <c r="C164" s="3"/>
      <c r="D164" s="3"/>
    </row>
    <row r="165" spans="1:8" ht="13" customHeight="1" x14ac:dyDescent="0.3">
      <c r="A165" s="67" t="s">
        <v>271</v>
      </c>
      <c r="B165" s="68"/>
      <c r="C165" s="68"/>
      <c r="D165" s="68"/>
      <c r="E165" s="68"/>
      <c r="F165" s="68"/>
      <c r="G165" s="68"/>
      <c r="H165" s="68"/>
    </row>
    <row r="166" spans="1:8" ht="26" customHeight="1" x14ac:dyDescent="0.3">
      <c r="A166" s="39" t="s">
        <v>121</v>
      </c>
      <c r="B166" s="4" t="s">
        <v>265</v>
      </c>
      <c r="C166" s="69" t="s">
        <v>272</v>
      </c>
      <c r="D166" s="70" t="s">
        <v>122</v>
      </c>
      <c r="E166" s="70" t="s">
        <v>123</v>
      </c>
      <c r="F166" s="70" t="s">
        <v>124</v>
      </c>
      <c r="G166" s="70" t="s">
        <v>125</v>
      </c>
      <c r="H166" s="79"/>
    </row>
    <row r="167" spans="1:8" ht="13" customHeight="1" x14ac:dyDescent="0.3">
      <c r="A167" s="4"/>
      <c r="B167" s="8" t="s">
        <v>101</v>
      </c>
      <c r="C167" s="3" t="s">
        <v>273</v>
      </c>
      <c r="D167" s="91">
        <f t="shared" ref="D167:G172" si="6">IF(D57=1,1,D57*0.9)</f>
        <v>1</v>
      </c>
      <c r="E167" s="91">
        <f t="shared" si="6"/>
        <v>1</v>
      </c>
      <c r="F167" s="91">
        <f t="shared" si="6"/>
        <v>1</v>
      </c>
      <c r="G167" s="91">
        <f t="shared" si="6"/>
        <v>1</v>
      </c>
      <c r="H167" s="39"/>
    </row>
    <row r="168" spans="1:8" x14ac:dyDescent="0.25">
      <c r="C168" s="3" t="s">
        <v>274</v>
      </c>
      <c r="D168" s="91">
        <f t="shared" si="6"/>
        <v>9.6075000000000017</v>
      </c>
      <c r="E168" s="91">
        <f t="shared" si="6"/>
        <v>9.6075000000000017</v>
      </c>
      <c r="F168" s="91">
        <f t="shared" si="6"/>
        <v>9.6075000000000017</v>
      </c>
      <c r="G168" s="91">
        <f t="shared" si="6"/>
        <v>9.6075000000000017</v>
      </c>
      <c r="H168" s="39"/>
    </row>
    <row r="169" spans="1:8" x14ac:dyDescent="0.25">
      <c r="B169" s="8" t="s">
        <v>102</v>
      </c>
      <c r="C169" s="3" t="s">
        <v>273</v>
      </c>
      <c r="D169" s="91">
        <f t="shared" si="6"/>
        <v>1</v>
      </c>
      <c r="E169" s="91">
        <f t="shared" si="6"/>
        <v>1</v>
      </c>
      <c r="F169" s="91">
        <f t="shared" si="6"/>
        <v>1</v>
      </c>
      <c r="G169" s="91">
        <f t="shared" si="6"/>
        <v>1</v>
      </c>
      <c r="H169" s="39"/>
    </row>
    <row r="170" spans="1:8" x14ac:dyDescent="0.25">
      <c r="C170" s="3" t="s">
        <v>274</v>
      </c>
      <c r="D170" s="91">
        <f t="shared" si="6"/>
        <v>9.6075000000000017</v>
      </c>
      <c r="E170" s="91">
        <f t="shared" si="6"/>
        <v>9.6075000000000017</v>
      </c>
      <c r="F170" s="91">
        <f t="shared" si="6"/>
        <v>9.6075000000000017</v>
      </c>
      <c r="G170" s="91">
        <f t="shared" si="6"/>
        <v>9.6075000000000017</v>
      </c>
      <c r="H170" s="39"/>
    </row>
    <row r="171" spans="1:8" x14ac:dyDescent="0.25">
      <c r="B171" s="8" t="s">
        <v>103</v>
      </c>
      <c r="C171" s="3" t="s">
        <v>273</v>
      </c>
      <c r="D171" s="91">
        <f t="shared" si="6"/>
        <v>1</v>
      </c>
      <c r="E171" s="91">
        <f t="shared" si="6"/>
        <v>1</v>
      </c>
      <c r="F171" s="91">
        <f t="shared" si="6"/>
        <v>1</v>
      </c>
      <c r="G171" s="91">
        <f t="shared" si="6"/>
        <v>1</v>
      </c>
      <c r="H171" s="39"/>
    </row>
    <row r="172" spans="1:8" x14ac:dyDescent="0.25">
      <c r="C172" s="3" t="s">
        <v>274</v>
      </c>
      <c r="D172" s="91">
        <f t="shared" si="6"/>
        <v>9.6075000000000017</v>
      </c>
      <c r="E172" s="91">
        <f t="shared" si="6"/>
        <v>9.6075000000000017</v>
      </c>
      <c r="F172" s="91">
        <f t="shared" si="6"/>
        <v>9.6075000000000017</v>
      </c>
      <c r="G172" s="91">
        <f t="shared" si="6"/>
        <v>9.6075000000000017</v>
      </c>
      <c r="H172" s="39"/>
    </row>
    <row r="173" spans="1:8" x14ac:dyDescent="0.25">
      <c r="C173" s="3"/>
      <c r="D173" s="3"/>
    </row>
    <row r="174" spans="1:8" ht="13" customHeight="1" x14ac:dyDescent="0.3">
      <c r="A174" s="67" t="s">
        <v>275</v>
      </c>
      <c r="B174" s="68"/>
      <c r="C174" s="68"/>
      <c r="D174" s="68"/>
      <c r="E174" s="68"/>
      <c r="F174" s="68"/>
      <c r="G174" s="68"/>
      <c r="H174" s="68"/>
    </row>
    <row r="175" spans="1:8" ht="26" customHeight="1" x14ac:dyDescent="0.3">
      <c r="A175" s="39" t="s">
        <v>128</v>
      </c>
      <c r="B175" s="4" t="s">
        <v>265</v>
      </c>
      <c r="C175" s="69" t="s">
        <v>276</v>
      </c>
      <c r="D175" s="70" t="s">
        <v>109</v>
      </c>
      <c r="E175" s="70" t="s">
        <v>96</v>
      </c>
      <c r="F175" s="70" t="s">
        <v>97</v>
      </c>
      <c r="G175" s="70" t="s">
        <v>98</v>
      </c>
      <c r="H175" s="81" t="s">
        <v>99</v>
      </c>
    </row>
    <row r="176" spans="1:8" ht="13" customHeight="1" x14ac:dyDescent="0.3">
      <c r="A176" s="82"/>
      <c r="B176" s="8" t="s">
        <v>78</v>
      </c>
      <c r="C176" s="3" t="s">
        <v>129</v>
      </c>
      <c r="D176" s="91">
        <f t="shared" ref="D176:G195" si="7">IF(D66=1,1,D66*0.9)</f>
        <v>1.2150000000000001</v>
      </c>
      <c r="E176" s="91">
        <f t="shared" si="7"/>
        <v>1</v>
      </c>
      <c r="F176" s="91">
        <f t="shared" si="7"/>
        <v>1</v>
      </c>
      <c r="G176" s="91">
        <f t="shared" si="7"/>
        <v>1</v>
      </c>
      <c r="H176" s="39">
        <v>0.9</v>
      </c>
    </row>
    <row r="177" spans="2:8" x14ac:dyDescent="0.25">
      <c r="C177" s="3" t="s">
        <v>130</v>
      </c>
      <c r="D177" s="91">
        <f t="shared" si="7"/>
        <v>1.2150000000000001</v>
      </c>
      <c r="E177" s="91">
        <f t="shared" si="7"/>
        <v>1</v>
      </c>
      <c r="F177" s="91">
        <f t="shared" si="7"/>
        <v>1</v>
      </c>
      <c r="G177" s="91">
        <f t="shared" si="7"/>
        <v>1</v>
      </c>
      <c r="H177" s="39">
        <v>0.9</v>
      </c>
    </row>
    <row r="178" spans="2:8" x14ac:dyDescent="0.25">
      <c r="C178" s="3" t="s">
        <v>131</v>
      </c>
      <c r="D178" s="91">
        <f t="shared" si="7"/>
        <v>1.2150000000000001</v>
      </c>
      <c r="E178" s="91">
        <f t="shared" si="7"/>
        <v>1</v>
      </c>
      <c r="F178" s="91">
        <f t="shared" si="7"/>
        <v>1</v>
      </c>
      <c r="G178" s="91">
        <f t="shared" si="7"/>
        <v>1</v>
      </c>
      <c r="H178" s="39">
        <v>0.9</v>
      </c>
    </row>
    <row r="179" spans="2:8" x14ac:dyDescent="0.25">
      <c r="C179" s="3" t="s">
        <v>132</v>
      </c>
      <c r="D179" s="91">
        <f t="shared" si="7"/>
        <v>4.8600000000000003</v>
      </c>
      <c r="E179" s="91">
        <f t="shared" si="7"/>
        <v>1</v>
      </c>
      <c r="F179" s="91">
        <f t="shared" si="7"/>
        <v>1</v>
      </c>
      <c r="G179" s="91">
        <f t="shared" si="7"/>
        <v>1</v>
      </c>
      <c r="H179" s="39">
        <v>0.9</v>
      </c>
    </row>
    <row r="180" spans="2:8" x14ac:dyDescent="0.25">
      <c r="B180" s="8" t="s">
        <v>79</v>
      </c>
      <c r="C180" s="3" t="s">
        <v>129</v>
      </c>
      <c r="D180" s="91">
        <f t="shared" si="7"/>
        <v>1.2150000000000001</v>
      </c>
      <c r="E180" s="91">
        <f t="shared" si="7"/>
        <v>1</v>
      </c>
      <c r="F180" s="91">
        <f t="shared" si="7"/>
        <v>1</v>
      </c>
      <c r="G180" s="91">
        <f t="shared" si="7"/>
        <v>1</v>
      </c>
      <c r="H180" s="39">
        <v>0.9</v>
      </c>
    </row>
    <row r="181" spans="2:8" x14ac:dyDescent="0.25">
      <c r="C181" s="3" t="s">
        <v>130</v>
      </c>
      <c r="D181" s="91">
        <f t="shared" si="7"/>
        <v>1.2150000000000001</v>
      </c>
      <c r="E181" s="91">
        <f t="shared" si="7"/>
        <v>1</v>
      </c>
      <c r="F181" s="91">
        <f t="shared" si="7"/>
        <v>1</v>
      </c>
      <c r="G181" s="91">
        <f t="shared" si="7"/>
        <v>1</v>
      </c>
      <c r="H181" s="39">
        <v>0.9</v>
      </c>
    </row>
    <row r="182" spans="2:8" x14ac:dyDescent="0.25">
      <c r="C182" s="3" t="s">
        <v>131</v>
      </c>
      <c r="D182" s="91">
        <f t="shared" si="7"/>
        <v>1.2150000000000001</v>
      </c>
      <c r="E182" s="91">
        <f t="shared" si="7"/>
        <v>1</v>
      </c>
      <c r="F182" s="91">
        <f t="shared" si="7"/>
        <v>1</v>
      </c>
      <c r="G182" s="91">
        <f t="shared" si="7"/>
        <v>1</v>
      </c>
      <c r="H182" s="39">
        <v>0.9</v>
      </c>
    </row>
    <row r="183" spans="2:8" x14ac:dyDescent="0.25">
      <c r="C183" s="3" t="s">
        <v>132</v>
      </c>
      <c r="D183" s="91">
        <f t="shared" si="7"/>
        <v>4.8600000000000003</v>
      </c>
      <c r="E183" s="91">
        <f t="shared" si="7"/>
        <v>1</v>
      </c>
      <c r="F183" s="91">
        <f t="shared" si="7"/>
        <v>1</v>
      </c>
      <c r="G183" s="91">
        <f t="shared" si="7"/>
        <v>1</v>
      </c>
      <c r="H183" s="39">
        <v>0.9</v>
      </c>
    </row>
    <row r="184" spans="2:8" x14ac:dyDescent="0.25">
      <c r="B184" s="8" t="s">
        <v>80</v>
      </c>
      <c r="C184" s="3" t="s">
        <v>129</v>
      </c>
      <c r="D184" s="91">
        <f t="shared" si="7"/>
        <v>1.2150000000000001</v>
      </c>
      <c r="E184" s="91">
        <f t="shared" si="7"/>
        <v>1</v>
      </c>
      <c r="F184" s="91">
        <f t="shared" si="7"/>
        <v>1</v>
      </c>
      <c r="G184" s="91">
        <f t="shared" si="7"/>
        <v>1</v>
      </c>
      <c r="H184" s="39">
        <v>0.9</v>
      </c>
    </row>
    <row r="185" spans="2:8" x14ac:dyDescent="0.25">
      <c r="C185" s="3" t="s">
        <v>130</v>
      </c>
      <c r="D185" s="91">
        <f t="shared" si="7"/>
        <v>1.2150000000000001</v>
      </c>
      <c r="E185" s="91">
        <f t="shared" si="7"/>
        <v>1</v>
      </c>
      <c r="F185" s="91">
        <f t="shared" si="7"/>
        <v>1</v>
      </c>
      <c r="G185" s="91">
        <f t="shared" si="7"/>
        <v>1</v>
      </c>
      <c r="H185" s="39">
        <v>0.9</v>
      </c>
    </row>
    <row r="186" spans="2:8" x14ac:dyDescent="0.25">
      <c r="C186" s="3" t="s">
        <v>131</v>
      </c>
      <c r="D186" s="91">
        <f t="shared" si="7"/>
        <v>1.2150000000000001</v>
      </c>
      <c r="E186" s="91">
        <f t="shared" si="7"/>
        <v>1</v>
      </c>
      <c r="F186" s="91">
        <f t="shared" si="7"/>
        <v>1</v>
      </c>
      <c r="G186" s="91">
        <f t="shared" si="7"/>
        <v>1</v>
      </c>
      <c r="H186" s="39">
        <v>0.9</v>
      </c>
    </row>
    <row r="187" spans="2:8" x14ac:dyDescent="0.25">
      <c r="C187" s="3" t="s">
        <v>132</v>
      </c>
      <c r="D187" s="91">
        <f t="shared" si="7"/>
        <v>4.8600000000000003</v>
      </c>
      <c r="E187" s="91">
        <f t="shared" si="7"/>
        <v>1</v>
      </c>
      <c r="F187" s="91">
        <f t="shared" si="7"/>
        <v>1</v>
      </c>
      <c r="G187" s="91">
        <f t="shared" si="7"/>
        <v>1</v>
      </c>
      <c r="H187" s="39">
        <v>0.9</v>
      </c>
    </row>
    <row r="188" spans="2:8" x14ac:dyDescent="0.25">
      <c r="B188" s="8" t="s">
        <v>82</v>
      </c>
      <c r="C188" s="3" t="s">
        <v>129</v>
      </c>
      <c r="D188" s="91">
        <f t="shared" si="7"/>
        <v>1</v>
      </c>
      <c r="E188" s="91">
        <f t="shared" si="7"/>
        <v>1</v>
      </c>
      <c r="F188" s="91">
        <f t="shared" si="7"/>
        <v>1</v>
      </c>
      <c r="G188" s="91">
        <f t="shared" si="7"/>
        <v>1</v>
      </c>
      <c r="H188" s="39">
        <v>0.9</v>
      </c>
    </row>
    <row r="189" spans="2:8" x14ac:dyDescent="0.25">
      <c r="C189" s="3" t="s">
        <v>130</v>
      </c>
      <c r="D189" s="91">
        <f t="shared" si="7"/>
        <v>1</v>
      </c>
      <c r="E189" s="91">
        <f t="shared" si="7"/>
        <v>1</v>
      </c>
      <c r="F189" s="91">
        <f t="shared" si="7"/>
        <v>1</v>
      </c>
      <c r="G189" s="91">
        <f t="shared" si="7"/>
        <v>1</v>
      </c>
      <c r="H189" s="39">
        <v>0.9</v>
      </c>
    </row>
    <row r="190" spans="2:8" x14ac:dyDescent="0.25">
      <c r="C190" s="3" t="s">
        <v>131</v>
      </c>
      <c r="D190" s="91">
        <f t="shared" si="7"/>
        <v>1</v>
      </c>
      <c r="E190" s="91">
        <f t="shared" si="7"/>
        <v>1</v>
      </c>
      <c r="F190" s="91">
        <f t="shared" si="7"/>
        <v>1</v>
      </c>
      <c r="G190" s="91">
        <f t="shared" si="7"/>
        <v>1</v>
      </c>
      <c r="H190" s="39">
        <v>0.9</v>
      </c>
    </row>
    <row r="191" spans="2:8" x14ac:dyDescent="0.25">
      <c r="C191" s="3" t="s">
        <v>132</v>
      </c>
      <c r="D191" s="91">
        <f t="shared" si="7"/>
        <v>1</v>
      </c>
      <c r="E191" s="91">
        <f t="shared" si="7"/>
        <v>1</v>
      </c>
      <c r="F191" s="91">
        <f t="shared" si="7"/>
        <v>1</v>
      </c>
      <c r="G191" s="91">
        <f t="shared" si="7"/>
        <v>1</v>
      </c>
      <c r="H191" s="39">
        <v>0.9</v>
      </c>
    </row>
    <row r="192" spans="2:8" x14ac:dyDescent="0.25">
      <c r="B192" s="8" t="s">
        <v>87</v>
      </c>
      <c r="C192" s="3" t="s">
        <v>129</v>
      </c>
      <c r="D192" s="91">
        <f t="shared" si="7"/>
        <v>1</v>
      </c>
      <c r="E192" s="91">
        <f t="shared" si="7"/>
        <v>1</v>
      </c>
      <c r="F192" s="91">
        <f t="shared" si="7"/>
        <v>1</v>
      </c>
      <c r="G192" s="91">
        <f t="shared" si="7"/>
        <v>1</v>
      </c>
      <c r="H192" s="39">
        <v>0.9</v>
      </c>
    </row>
    <row r="193" spans="2:8" x14ac:dyDescent="0.25">
      <c r="C193" s="3" t="s">
        <v>130</v>
      </c>
      <c r="D193" s="91">
        <f t="shared" si="7"/>
        <v>1</v>
      </c>
      <c r="E193" s="91">
        <f t="shared" si="7"/>
        <v>2.052</v>
      </c>
      <c r="F193" s="91">
        <f t="shared" si="7"/>
        <v>1</v>
      </c>
      <c r="G193" s="91">
        <f t="shared" si="7"/>
        <v>1</v>
      </c>
      <c r="H193" s="39">
        <v>0.9</v>
      </c>
    </row>
    <row r="194" spans="2:8" x14ac:dyDescent="0.25">
      <c r="C194" s="3" t="s">
        <v>131</v>
      </c>
      <c r="D194" s="91">
        <f t="shared" si="7"/>
        <v>1</v>
      </c>
      <c r="E194" s="91">
        <f t="shared" si="7"/>
        <v>4.1580000000000004</v>
      </c>
      <c r="F194" s="91">
        <f t="shared" si="7"/>
        <v>1</v>
      </c>
      <c r="G194" s="91">
        <f t="shared" si="7"/>
        <v>1</v>
      </c>
      <c r="H194" s="39">
        <v>0.9</v>
      </c>
    </row>
    <row r="195" spans="2:8" x14ac:dyDescent="0.25">
      <c r="C195" s="3" t="s">
        <v>132</v>
      </c>
      <c r="D195" s="91">
        <f t="shared" si="7"/>
        <v>1</v>
      </c>
      <c r="E195" s="91">
        <f t="shared" si="7"/>
        <v>9.4770000000000003</v>
      </c>
      <c r="F195" s="91">
        <f t="shared" si="7"/>
        <v>1.323</v>
      </c>
      <c r="G195" s="91">
        <f t="shared" si="7"/>
        <v>2.3129999999999997</v>
      </c>
      <c r="H195" s="39">
        <v>0.9</v>
      </c>
    </row>
    <row r="196" spans="2:8" x14ac:dyDescent="0.25">
      <c r="B196" s="8" t="s">
        <v>88</v>
      </c>
      <c r="C196" s="3" t="s">
        <v>129</v>
      </c>
      <c r="D196" s="91">
        <f t="shared" ref="D196:G211" si="8">IF(D86=1,1,D86*0.9)</f>
        <v>1</v>
      </c>
      <c r="E196" s="91">
        <f t="shared" si="8"/>
        <v>1</v>
      </c>
      <c r="F196" s="91">
        <f t="shared" si="8"/>
        <v>1</v>
      </c>
      <c r="G196" s="91">
        <f t="shared" si="8"/>
        <v>1</v>
      </c>
      <c r="H196" s="39">
        <v>0.9</v>
      </c>
    </row>
    <row r="197" spans="2:8" x14ac:dyDescent="0.25">
      <c r="C197" s="3" t="s">
        <v>130</v>
      </c>
      <c r="D197" s="91">
        <f t="shared" si="8"/>
        <v>1</v>
      </c>
      <c r="E197" s="91">
        <f t="shared" si="8"/>
        <v>1.494</v>
      </c>
      <c r="F197" s="91">
        <f t="shared" si="8"/>
        <v>1</v>
      </c>
      <c r="G197" s="91">
        <f t="shared" si="8"/>
        <v>1</v>
      </c>
      <c r="H197" s="39">
        <v>0.9</v>
      </c>
    </row>
    <row r="198" spans="2:8" x14ac:dyDescent="0.25">
      <c r="C198" s="3" t="s">
        <v>131</v>
      </c>
      <c r="D198" s="91">
        <f t="shared" si="8"/>
        <v>1</v>
      </c>
      <c r="E198" s="91">
        <f t="shared" si="8"/>
        <v>2.25</v>
      </c>
      <c r="F198" s="91">
        <f t="shared" si="8"/>
        <v>1</v>
      </c>
      <c r="G198" s="91">
        <f t="shared" si="8"/>
        <v>1</v>
      </c>
      <c r="H198" s="39">
        <v>0.9</v>
      </c>
    </row>
    <row r="199" spans="2:8" x14ac:dyDescent="0.25">
      <c r="C199" s="3" t="s">
        <v>132</v>
      </c>
      <c r="D199" s="91">
        <f t="shared" si="8"/>
        <v>1</v>
      </c>
      <c r="E199" s="91">
        <f t="shared" si="8"/>
        <v>13.473000000000001</v>
      </c>
      <c r="F199" s="91">
        <f t="shared" si="8"/>
        <v>1.728</v>
      </c>
      <c r="G199" s="91">
        <f t="shared" si="8"/>
        <v>1.728</v>
      </c>
      <c r="H199" s="39">
        <v>0.9</v>
      </c>
    </row>
    <row r="200" spans="2:8" x14ac:dyDescent="0.25">
      <c r="B200" s="8" t="s">
        <v>90</v>
      </c>
      <c r="C200" s="3" t="s">
        <v>129</v>
      </c>
      <c r="D200" s="91">
        <f t="shared" si="8"/>
        <v>1</v>
      </c>
      <c r="E200" s="91">
        <f t="shared" si="8"/>
        <v>1</v>
      </c>
      <c r="F200" s="91">
        <f t="shared" si="8"/>
        <v>1</v>
      </c>
      <c r="G200" s="91">
        <f t="shared" si="8"/>
        <v>1</v>
      </c>
      <c r="H200" s="39">
        <v>0.9</v>
      </c>
    </row>
    <row r="201" spans="2:8" x14ac:dyDescent="0.25">
      <c r="C201" s="3" t="s">
        <v>130</v>
      </c>
      <c r="D201" s="91">
        <f t="shared" si="8"/>
        <v>1</v>
      </c>
      <c r="E201" s="91">
        <f t="shared" si="8"/>
        <v>1.3320000000000001</v>
      </c>
      <c r="F201" s="91">
        <f t="shared" si="8"/>
        <v>1</v>
      </c>
      <c r="G201" s="91">
        <f t="shared" si="8"/>
        <v>1</v>
      </c>
      <c r="H201" s="39">
        <v>0.9</v>
      </c>
    </row>
    <row r="202" spans="2:8" x14ac:dyDescent="0.25">
      <c r="C202" s="3" t="s">
        <v>131</v>
      </c>
      <c r="D202" s="91">
        <f t="shared" si="8"/>
        <v>1</v>
      </c>
      <c r="E202" s="91">
        <f t="shared" si="8"/>
        <v>2.556</v>
      </c>
      <c r="F202" s="91">
        <f t="shared" si="8"/>
        <v>1</v>
      </c>
      <c r="G202" s="91">
        <f t="shared" si="8"/>
        <v>1</v>
      </c>
      <c r="H202" s="39">
        <v>0.9</v>
      </c>
    </row>
    <row r="203" spans="2:8" x14ac:dyDescent="0.25">
      <c r="C203" s="3" t="s">
        <v>132</v>
      </c>
      <c r="D203" s="91">
        <f t="shared" si="8"/>
        <v>1</v>
      </c>
      <c r="E203" s="91">
        <f t="shared" si="8"/>
        <v>12.96</v>
      </c>
      <c r="F203" s="91">
        <f t="shared" si="8"/>
        <v>3.3210000000000002</v>
      </c>
      <c r="G203" s="91">
        <f t="shared" si="8"/>
        <v>3.3210000000000002</v>
      </c>
      <c r="H203" s="39">
        <v>0.9</v>
      </c>
    </row>
    <row r="204" spans="2:8" x14ac:dyDescent="0.25">
      <c r="B204" s="8" t="s">
        <v>89</v>
      </c>
      <c r="C204" s="3" t="s">
        <v>129</v>
      </c>
      <c r="D204" s="91">
        <f t="shared" si="8"/>
        <v>1</v>
      </c>
      <c r="E204" s="91">
        <f t="shared" si="8"/>
        <v>1</v>
      </c>
      <c r="F204" s="91">
        <f t="shared" si="8"/>
        <v>1</v>
      </c>
      <c r="G204" s="91">
        <f t="shared" si="8"/>
        <v>1</v>
      </c>
      <c r="H204" s="39">
        <v>0.9</v>
      </c>
    </row>
    <row r="205" spans="2:8" x14ac:dyDescent="0.25">
      <c r="C205" s="3" t="s">
        <v>130</v>
      </c>
      <c r="D205" s="91">
        <f t="shared" si="8"/>
        <v>1</v>
      </c>
      <c r="E205" s="91">
        <f t="shared" si="8"/>
        <v>1.3320000000000001</v>
      </c>
      <c r="F205" s="91">
        <f t="shared" si="8"/>
        <v>1</v>
      </c>
      <c r="G205" s="91">
        <f t="shared" si="8"/>
        <v>1</v>
      </c>
      <c r="H205" s="39">
        <v>0.9</v>
      </c>
    </row>
    <row r="206" spans="2:8" x14ac:dyDescent="0.25">
      <c r="C206" s="3" t="s">
        <v>131</v>
      </c>
      <c r="D206" s="91">
        <f t="shared" si="8"/>
        <v>1</v>
      </c>
      <c r="E206" s="91">
        <f t="shared" si="8"/>
        <v>2.556</v>
      </c>
      <c r="F206" s="91">
        <f t="shared" si="8"/>
        <v>1</v>
      </c>
      <c r="G206" s="91">
        <f t="shared" si="8"/>
        <v>1</v>
      </c>
      <c r="H206" s="39">
        <v>0.9</v>
      </c>
    </row>
    <row r="207" spans="2:8" x14ac:dyDescent="0.25">
      <c r="C207" s="3" t="s">
        <v>132</v>
      </c>
      <c r="D207" s="91">
        <f t="shared" si="8"/>
        <v>1</v>
      </c>
      <c r="E207" s="91">
        <f t="shared" si="8"/>
        <v>12.96</v>
      </c>
      <c r="F207" s="91">
        <f t="shared" si="8"/>
        <v>3.3210000000000002</v>
      </c>
      <c r="G207" s="91">
        <f t="shared" si="8"/>
        <v>3.3210000000000002</v>
      </c>
      <c r="H207" s="39">
        <v>0.9</v>
      </c>
    </row>
    <row r="208" spans="2:8" x14ac:dyDescent="0.25">
      <c r="B208" s="8" t="s">
        <v>92</v>
      </c>
      <c r="C208" s="3" t="s">
        <v>129</v>
      </c>
      <c r="D208" s="91">
        <f t="shared" si="8"/>
        <v>1</v>
      </c>
      <c r="E208" s="91">
        <f t="shared" si="8"/>
        <v>1</v>
      </c>
      <c r="F208" s="91">
        <f t="shared" si="8"/>
        <v>1</v>
      </c>
      <c r="G208" s="91">
        <f t="shared" si="8"/>
        <v>1</v>
      </c>
      <c r="H208" s="39">
        <v>0.9</v>
      </c>
    </row>
    <row r="209" spans="1:9" x14ac:dyDescent="0.25">
      <c r="C209" s="3" t="s">
        <v>130</v>
      </c>
      <c r="D209" s="91">
        <f t="shared" si="8"/>
        <v>1</v>
      </c>
      <c r="E209" s="91">
        <f t="shared" si="8"/>
        <v>1.3320000000000001</v>
      </c>
      <c r="F209" s="91">
        <f t="shared" si="8"/>
        <v>1</v>
      </c>
      <c r="G209" s="91">
        <f t="shared" si="8"/>
        <v>1</v>
      </c>
      <c r="H209" s="39">
        <v>0.9</v>
      </c>
    </row>
    <row r="210" spans="1:9" x14ac:dyDescent="0.25">
      <c r="C210" s="3" t="s">
        <v>131</v>
      </c>
      <c r="D210" s="91">
        <f t="shared" si="8"/>
        <v>1</v>
      </c>
      <c r="E210" s="91">
        <f t="shared" si="8"/>
        <v>2.556</v>
      </c>
      <c r="F210" s="91">
        <f t="shared" si="8"/>
        <v>1</v>
      </c>
      <c r="G210" s="91">
        <f t="shared" si="8"/>
        <v>1</v>
      </c>
      <c r="H210" s="39">
        <v>0.9</v>
      </c>
    </row>
    <row r="211" spans="1:9" x14ac:dyDescent="0.25">
      <c r="C211" s="3" t="s">
        <v>132</v>
      </c>
      <c r="D211" s="91">
        <f t="shared" si="8"/>
        <v>1</v>
      </c>
      <c r="E211" s="91">
        <f t="shared" si="8"/>
        <v>12.96</v>
      </c>
      <c r="F211" s="91">
        <f t="shared" si="8"/>
        <v>3.3210000000000002</v>
      </c>
      <c r="G211" s="91">
        <f t="shared" si="8"/>
        <v>3.3210000000000002</v>
      </c>
      <c r="H211" s="39">
        <v>0.9</v>
      </c>
    </row>
    <row r="213" spans="1:9" ht="13" customHeight="1" x14ac:dyDescent="0.3">
      <c r="A213" s="67" t="s">
        <v>277</v>
      </c>
      <c r="B213" s="68"/>
      <c r="C213" s="68"/>
      <c r="D213" s="68"/>
      <c r="E213" s="68"/>
      <c r="F213" s="68"/>
      <c r="G213" s="68"/>
      <c r="H213" s="68"/>
    </row>
    <row r="214" spans="1:9" ht="26" customHeight="1" x14ac:dyDescent="0.3">
      <c r="A214" s="39" t="s">
        <v>87</v>
      </c>
      <c r="B214" s="82" t="s">
        <v>132</v>
      </c>
      <c r="C214" s="69" t="s">
        <v>276</v>
      </c>
      <c r="D214" s="70" t="s">
        <v>109</v>
      </c>
      <c r="E214" s="70" t="s">
        <v>96</v>
      </c>
      <c r="F214" s="70" t="s">
        <v>97</v>
      </c>
      <c r="G214" s="70" t="s">
        <v>98</v>
      </c>
      <c r="H214" s="81" t="s">
        <v>99</v>
      </c>
    </row>
    <row r="215" spans="1:9" ht="13" customHeight="1" x14ac:dyDescent="0.3">
      <c r="A215" s="4"/>
      <c r="C215" s="3" t="s">
        <v>129</v>
      </c>
      <c r="D215" s="91">
        <f t="shared" ref="D215:G218" si="9">IF(D105=1,1,D105*0.9)</f>
        <v>1</v>
      </c>
      <c r="E215" s="91">
        <f t="shared" si="9"/>
        <v>1</v>
      </c>
      <c r="F215" s="91">
        <f t="shared" si="9"/>
        <v>1</v>
      </c>
      <c r="G215" s="91">
        <f t="shared" si="9"/>
        <v>1</v>
      </c>
      <c r="H215" s="39">
        <v>0.9</v>
      </c>
    </row>
    <row r="216" spans="1:9" x14ac:dyDescent="0.25">
      <c r="C216" s="3" t="s">
        <v>130</v>
      </c>
      <c r="D216" s="91">
        <f t="shared" si="9"/>
        <v>1.1340000000000001</v>
      </c>
      <c r="E216" s="91">
        <f t="shared" si="9"/>
        <v>1.1340000000000001</v>
      </c>
      <c r="F216" s="91">
        <f t="shared" si="9"/>
        <v>1</v>
      </c>
      <c r="G216" s="91">
        <f t="shared" si="9"/>
        <v>1</v>
      </c>
      <c r="H216" s="39">
        <v>0.9</v>
      </c>
    </row>
    <row r="217" spans="1:9" x14ac:dyDescent="0.25">
      <c r="C217" s="3" t="s">
        <v>131</v>
      </c>
      <c r="D217" s="91">
        <f t="shared" si="9"/>
        <v>1.512</v>
      </c>
      <c r="E217" s="91">
        <f t="shared" si="9"/>
        <v>1.512</v>
      </c>
      <c r="F217" s="91">
        <f t="shared" si="9"/>
        <v>1</v>
      </c>
      <c r="G217" s="91">
        <f t="shared" si="9"/>
        <v>1</v>
      </c>
      <c r="H217" s="39">
        <v>0.9</v>
      </c>
    </row>
    <row r="218" spans="1:9" x14ac:dyDescent="0.25">
      <c r="C218" s="3" t="s">
        <v>132</v>
      </c>
      <c r="D218" s="91">
        <f t="shared" si="9"/>
        <v>2.3849999999999998</v>
      </c>
      <c r="E218" s="91">
        <f t="shared" si="9"/>
        <v>2.3849999999999998</v>
      </c>
      <c r="F218" s="91">
        <f t="shared" si="9"/>
        <v>1.863</v>
      </c>
      <c r="G218" s="91">
        <f t="shared" si="9"/>
        <v>1.863</v>
      </c>
      <c r="H218" s="39">
        <v>0.9</v>
      </c>
    </row>
    <row r="220" spans="1:9" s="93" customFormat="1" ht="13" customHeight="1" x14ac:dyDescent="0.3">
      <c r="A220" s="92" t="s">
        <v>239</v>
      </c>
      <c r="H220" s="92"/>
    </row>
    <row r="221" spans="1:9" ht="13" customHeight="1" x14ac:dyDescent="0.3">
      <c r="A221" s="67" t="s">
        <v>264</v>
      </c>
      <c r="B221" s="68"/>
      <c r="C221" s="68"/>
      <c r="D221" s="68"/>
      <c r="E221" s="68"/>
      <c r="F221" s="68"/>
      <c r="G221" s="68"/>
      <c r="H221" s="68"/>
      <c r="I221" s="68"/>
    </row>
    <row r="222" spans="1:9" ht="13" customHeight="1" x14ac:dyDescent="0.3">
      <c r="A222" s="39" t="s">
        <v>226</v>
      </c>
      <c r="B222" s="1" t="s">
        <v>265</v>
      </c>
      <c r="C222" s="1" t="s">
        <v>266</v>
      </c>
      <c r="D222" s="70" t="s">
        <v>109</v>
      </c>
      <c r="E222" s="70" t="s">
        <v>96</v>
      </c>
      <c r="F222" s="70" t="s">
        <v>97</v>
      </c>
      <c r="G222" s="70" t="s">
        <v>98</v>
      </c>
      <c r="H222" s="70" t="s">
        <v>99</v>
      </c>
      <c r="I222" s="79"/>
    </row>
    <row r="223" spans="1:9" ht="13" customHeight="1" x14ac:dyDescent="0.3">
      <c r="A223" s="4"/>
      <c r="B223" s="8" t="s">
        <v>87</v>
      </c>
      <c r="C223" s="3" t="s">
        <v>10</v>
      </c>
      <c r="D223" s="91">
        <f t="shared" ref="D223:H232" si="10">IF(D3=1,1,D3*1.1)</f>
        <v>1</v>
      </c>
      <c r="E223" s="91">
        <f t="shared" si="10"/>
        <v>1</v>
      </c>
      <c r="F223" s="91">
        <f t="shared" si="10"/>
        <v>1</v>
      </c>
      <c r="G223" s="91">
        <f t="shared" si="10"/>
        <v>1</v>
      </c>
      <c r="H223" s="91">
        <f t="shared" si="10"/>
        <v>1</v>
      </c>
      <c r="I223" s="39"/>
    </row>
    <row r="224" spans="1:9" x14ac:dyDescent="0.25">
      <c r="C224" s="3" t="s">
        <v>267</v>
      </c>
      <c r="D224" s="91">
        <f t="shared" si="10"/>
        <v>1</v>
      </c>
      <c r="E224" s="91">
        <f t="shared" si="10"/>
        <v>1.837</v>
      </c>
      <c r="F224" s="91">
        <f t="shared" si="10"/>
        <v>1.837</v>
      </c>
      <c r="G224" s="91">
        <f t="shared" si="10"/>
        <v>1.837</v>
      </c>
      <c r="H224" s="91">
        <f t="shared" si="10"/>
        <v>1.837</v>
      </c>
      <c r="I224" s="39"/>
    </row>
    <row r="225" spans="2:9" x14ac:dyDescent="0.25">
      <c r="C225" s="3" t="s">
        <v>268</v>
      </c>
      <c r="D225" s="91">
        <f t="shared" si="10"/>
        <v>1</v>
      </c>
      <c r="E225" s="91">
        <f t="shared" si="10"/>
        <v>2.6179999999999999</v>
      </c>
      <c r="F225" s="91">
        <f t="shared" si="10"/>
        <v>2.6179999999999999</v>
      </c>
      <c r="G225" s="91">
        <f t="shared" si="10"/>
        <v>2.6179999999999999</v>
      </c>
      <c r="H225" s="91">
        <f t="shared" si="10"/>
        <v>2.6179999999999999</v>
      </c>
      <c r="I225" s="39"/>
    </row>
    <row r="226" spans="2:9" x14ac:dyDescent="0.25">
      <c r="C226" s="3" t="s">
        <v>269</v>
      </c>
      <c r="D226" s="91">
        <f t="shared" si="10"/>
        <v>1</v>
      </c>
      <c r="E226" s="91">
        <f t="shared" si="10"/>
        <v>6.963000000000001</v>
      </c>
      <c r="F226" s="91">
        <f t="shared" si="10"/>
        <v>6.963000000000001</v>
      </c>
      <c r="G226" s="91">
        <f t="shared" si="10"/>
        <v>6.963000000000001</v>
      </c>
      <c r="H226" s="91">
        <f t="shared" si="10"/>
        <v>6.963000000000001</v>
      </c>
      <c r="I226" s="39"/>
    </row>
    <row r="227" spans="2:9" x14ac:dyDescent="0.25">
      <c r="B227" s="8" t="s">
        <v>88</v>
      </c>
      <c r="C227" s="3" t="s">
        <v>10</v>
      </c>
      <c r="D227" s="91">
        <f t="shared" si="10"/>
        <v>1</v>
      </c>
      <c r="E227" s="91">
        <f t="shared" si="10"/>
        <v>1</v>
      </c>
      <c r="F227" s="91">
        <f t="shared" si="10"/>
        <v>1</v>
      </c>
      <c r="G227" s="91">
        <f t="shared" si="10"/>
        <v>1</v>
      </c>
      <c r="H227" s="91">
        <f t="shared" si="10"/>
        <v>1</v>
      </c>
      <c r="I227" s="39"/>
    </row>
    <row r="228" spans="2:9" x14ac:dyDescent="0.25">
      <c r="C228" s="3" t="s">
        <v>267</v>
      </c>
      <c r="D228" s="91">
        <f t="shared" si="10"/>
        <v>1</v>
      </c>
      <c r="E228" s="91">
        <f t="shared" si="10"/>
        <v>1.7050000000000003</v>
      </c>
      <c r="F228" s="91">
        <f t="shared" si="10"/>
        <v>1.7050000000000003</v>
      </c>
      <c r="G228" s="91">
        <f t="shared" si="10"/>
        <v>1.7050000000000003</v>
      </c>
      <c r="H228" s="91">
        <f t="shared" si="10"/>
        <v>1.7050000000000003</v>
      </c>
      <c r="I228" s="39"/>
    </row>
    <row r="229" spans="2:9" x14ac:dyDescent="0.25">
      <c r="C229" s="3" t="s">
        <v>268</v>
      </c>
      <c r="D229" s="91">
        <f t="shared" si="10"/>
        <v>1</v>
      </c>
      <c r="E229" s="91">
        <f t="shared" si="10"/>
        <v>2.3980000000000006</v>
      </c>
      <c r="F229" s="91">
        <f t="shared" si="10"/>
        <v>2.3980000000000006</v>
      </c>
      <c r="G229" s="91">
        <f t="shared" si="10"/>
        <v>2.3980000000000006</v>
      </c>
      <c r="H229" s="91">
        <f t="shared" si="10"/>
        <v>2.3980000000000006</v>
      </c>
      <c r="I229" s="39"/>
    </row>
    <row r="230" spans="2:9" x14ac:dyDescent="0.25">
      <c r="C230" s="3" t="s">
        <v>269</v>
      </c>
      <c r="D230" s="91">
        <f t="shared" si="10"/>
        <v>1</v>
      </c>
      <c r="E230" s="91">
        <f t="shared" si="10"/>
        <v>7.0289999999999999</v>
      </c>
      <c r="F230" s="91">
        <f t="shared" si="10"/>
        <v>7.0289999999999999</v>
      </c>
      <c r="G230" s="91">
        <f t="shared" si="10"/>
        <v>7.0289999999999999</v>
      </c>
      <c r="H230" s="91">
        <f t="shared" si="10"/>
        <v>7.0289999999999999</v>
      </c>
      <c r="I230" s="39"/>
    </row>
    <row r="231" spans="2:9" x14ac:dyDescent="0.25">
      <c r="B231" s="8" t="s">
        <v>90</v>
      </c>
      <c r="C231" s="3" t="s">
        <v>10</v>
      </c>
      <c r="D231" s="91">
        <f t="shared" si="10"/>
        <v>1</v>
      </c>
      <c r="E231" s="91">
        <f t="shared" si="10"/>
        <v>1</v>
      </c>
      <c r="F231" s="91">
        <f t="shared" si="10"/>
        <v>1</v>
      </c>
      <c r="G231" s="91">
        <f t="shared" si="10"/>
        <v>1</v>
      </c>
      <c r="H231" s="91">
        <f t="shared" si="10"/>
        <v>1</v>
      </c>
      <c r="I231" s="39"/>
    </row>
    <row r="232" spans="2:9" x14ac:dyDescent="0.25">
      <c r="C232" s="3" t="s">
        <v>267</v>
      </c>
      <c r="D232" s="91">
        <f t="shared" si="10"/>
        <v>1</v>
      </c>
      <c r="E232" s="91">
        <f t="shared" si="10"/>
        <v>1</v>
      </c>
      <c r="F232" s="91">
        <f t="shared" si="10"/>
        <v>1</v>
      </c>
      <c r="G232" s="91">
        <f t="shared" si="10"/>
        <v>1</v>
      </c>
      <c r="H232" s="91">
        <f t="shared" si="10"/>
        <v>1</v>
      </c>
      <c r="I232" s="39"/>
    </row>
    <row r="233" spans="2:9" x14ac:dyDescent="0.25">
      <c r="C233" s="3" t="s">
        <v>268</v>
      </c>
      <c r="D233" s="91">
        <f t="shared" ref="D233:H242" si="11">IF(D13=1,1,D13*1.1)</f>
        <v>1</v>
      </c>
      <c r="E233" s="91">
        <f t="shared" si="11"/>
        <v>3.0690000000000004</v>
      </c>
      <c r="F233" s="91">
        <f t="shared" si="11"/>
        <v>3.0690000000000004</v>
      </c>
      <c r="G233" s="91">
        <f t="shared" si="11"/>
        <v>3.0690000000000004</v>
      </c>
      <c r="H233" s="91">
        <f t="shared" si="11"/>
        <v>3.0690000000000004</v>
      </c>
      <c r="I233" s="39"/>
    </row>
    <row r="234" spans="2:9" x14ac:dyDescent="0.25">
      <c r="C234" s="3" t="s">
        <v>269</v>
      </c>
      <c r="D234" s="91">
        <f t="shared" si="11"/>
        <v>1</v>
      </c>
      <c r="E234" s="91">
        <f t="shared" si="11"/>
        <v>6.6110000000000007</v>
      </c>
      <c r="F234" s="91">
        <f t="shared" si="11"/>
        <v>6.6110000000000007</v>
      </c>
      <c r="G234" s="91">
        <f t="shared" si="11"/>
        <v>6.6110000000000007</v>
      </c>
      <c r="H234" s="91">
        <f t="shared" si="11"/>
        <v>6.6110000000000007</v>
      </c>
      <c r="I234" s="39"/>
    </row>
    <row r="235" spans="2:9" x14ac:dyDescent="0.25">
      <c r="B235" s="8" t="s">
        <v>91</v>
      </c>
      <c r="C235" s="3" t="s">
        <v>10</v>
      </c>
      <c r="D235" s="91">
        <f t="shared" si="11"/>
        <v>1</v>
      </c>
      <c r="E235" s="91">
        <f t="shared" si="11"/>
        <v>1</v>
      </c>
      <c r="F235" s="91">
        <f t="shared" si="11"/>
        <v>1</v>
      </c>
      <c r="G235" s="91">
        <f t="shared" si="11"/>
        <v>1</v>
      </c>
      <c r="H235" s="91">
        <f t="shared" si="11"/>
        <v>1</v>
      </c>
      <c r="I235" s="39"/>
    </row>
    <row r="236" spans="2:9" x14ac:dyDescent="0.25">
      <c r="C236" s="3" t="s">
        <v>267</v>
      </c>
      <c r="D236" s="91">
        <f t="shared" si="11"/>
        <v>1</v>
      </c>
      <c r="E236" s="91">
        <f t="shared" si="11"/>
        <v>1</v>
      </c>
      <c r="F236" s="91">
        <f t="shared" si="11"/>
        <v>1</v>
      </c>
      <c r="G236" s="91">
        <f t="shared" si="11"/>
        <v>1</v>
      </c>
      <c r="H236" s="91">
        <f t="shared" si="11"/>
        <v>1</v>
      </c>
      <c r="I236" s="39"/>
    </row>
    <row r="237" spans="2:9" x14ac:dyDescent="0.25">
      <c r="C237" s="3" t="s">
        <v>268</v>
      </c>
      <c r="D237" s="91">
        <f t="shared" si="11"/>
        <v>1</v>
      </c>
      <c r="E237" s="91">
        <f t="shared" si="11"/>
        <v>1</v>
      </c>
      <c r="F237" s="91">
        <f t="shared" si="11"/>
        <v>1</v>
      </c>
      <c r="G237" s="91">
        <f t="shared" si="11"/>
        <v>1</v>
      </c>
      <c r="H237" s="91">
        <f t="shared" si="11"/>
        <v>1</v>
      </c>
      <c r="I237" s="39"/>
    </row>
    <row r="238" spans="2:9" x14ac:dyDescent="0.25">
      <c r="C238" s="3" t="s">
        <v>269</v>
      </c>
      <c r="D238" s="91">
        <f t="shared" si="11"/>
        <v>1</v>
      </c>
      <c r="E238" s="91">
        <f t="shared" si="11"/>
        <v>1</v>
      </c>
      <c r="F238" s="91">
        <f t="shared" si="11"/>
        <v>1</v>
      </c>
      <c r="G238" s="91">
        <f t="shared" si="11"/>
        <v>1</v>
      </c>
      <c r="H238" s="91">
        <f t="shared" si="11"/>
        <v>1</v>
      </c>
      <c r="I238" s="39"/>
    </row>
    <row r="239" spans="2:9" x14ac:dyDescent="0.25">
      <c r="B239" s="8" t="s">
        <v>89</v>
      </c>
      <c r="C239" s="3" t="s">
        <v>10</v>
      </c>
      <c r="D239" s="91">
        <f t="shared" si="11"/>
        <v>1</v>
      </c>
      <c r="E239" s="91">
        <f t="shared" si="11"/>
        <v>1</v>
      </c>
      <c r="F239" s="91">
        <f t="shared" si="11"/>
        <v>1</v>
      </c>
      <c r="G239" s="91">
        <f t="shared" si="11"/>
        <v>1</v>
      </c>
      <c r="H239" s="91">
        <f t="shared" si="11"/>
        <v>1</v>
      </c>
      <c r="I239" s="39"/>
    </row>
    <row r="240" spans="2:9" x14ac:dyDescent="0.25">
      <c r="C240" s="3" t="s">
        <v>267</v>
      </c>
      <c r="D240" s="91">
        <f t="shared" si="11"/>
        <v>1</v>
      </c>
      <c r="E240" s="91">
        <f t="shared" si="11"/>
        <v>1</v>
      </c>
      <c r="F240" s="91">
        <f t="shared" si="11"/>
        <v>1</v>
      </c>
      <c r="G240" s="91">
        <f t="shared" si="11"/>
        <v>1</v>
      </c>
      <c r="H240" s="91">
        <f t="shared" si="11"/>
        <v>1</v>
      </c>
      <c r="I240" s="39"/>
    </row>
    <row r="241" spans="1:9" x14ac:dyDescent="0.25">
      <c r="C241" s="3" t="s">
        <v>268</v>
      </c>
      <c r="D241" s="91">
        <f t="shared" si="11"/>
        <v>1</v>
      </c>
      <c r="E241" s="91">
        <f t="shared" si="11"/>
        <v>2.0460000000000003</v>
      </c>
      <c r="F241" s="91">
        <f t="shared" si="11"/>
        <v>2.0460000000000003</v>
      </c>
      <c r="G241" s="91">
        <f t="shared" si="11"/>
        <v>2.0460000000000003</v>
      </c>
      <c r="H241" s="91">
        <f t="shared" si="11"/>
        <v>2.0460000000000003</v>
      </c>
      <c r="I241" s="39"/>
    </row>
    <row r="242" spans="1:9" x14ac:dyDescent="0.25">
      <c r="C242" s="3" t="s">
        <v>269</v>
      </c>
      <c r="D242" s="91">
        <f t="shared" si="11"/>
        <v>1</v>
      </c>
      <c r="E242" s="91">
        <f t="shared" si="11"/>
        <v>3.3109999999999999</v>
      </c>
      <c r="F242" s="91">
        <f t="shared" si="11"/>
        <v>3.3109999999999999</v>
      </c>
      <c r="G242" s="91">
        <f t="shared" si="11"/>
        <v>3.3109999999999999</v>
      </c>
      <c r="H242" s="91">
        <f t="shared" si="11"/>
        <v>3.3109999999999999</v>
      </c>
      <c r="I242" s="39"/>
    </row>
    <row r="243" spans="1:9" x14ac:dyDescent="0.25">
      <c r="B243" s="8" t="s">
        <v>95</v>
      </c>
      <c r="C243" s="3" t="s">
        <v>10</v>
      </c>
      <c r="D243" s="91">
        <f t="shared" ref="D243:H246" si="12">IF(D23=1,1,D23*1.1)</f>
        <v>1</v>
      </c>
      <c r="E243" s="91">
        <f t="shared" si="12"/>
        <v>1</v>
      </c>
      <c r="F243" s="91">
        <f t="shared" si="12"/>
        <v>1</v>
      </c>
      <c r="G243" s="91">
        <f t="shared" si="12"/>
        <v>1</v>
      </c>
      <c r="H243" s="91">
        <f t="shared" si="12"/>
        <v>1</v>
      </c>
      <c r="I243" s="39"/>
    </row>
    <row r="244" spans="1:9" x14ac:dyDescent="0.25">
      <c r="C244" s="3" t="s">
        <v>267</v>
      </c>
      <c r="D244" s="91">
        <f t="shared" si="12"/>
        <v>1</v>
      </c>
      <c r="E244" s="91">
        <f t="shared" si="12"/>
        <v>1</v>
      </c>
      <c r="F244" s="91">
        <f t="shared" si="12"/>
        <v>1</v>
      </c>
      <c r="G244" s="91">
        <f t="shared" si="12"/>
        <v>1</v>
      </c>
      <c r="H244" s="91">
        <f t="shared" si="12"/>
        <v>1</v>
      </c>
      <c r="I244" s="39"/>
    </row>
    <row r="245" spans="1:9" x14ac:dyDescent="0.25">
      <c r="C245" s="3" t="s">
        <v>268</v>
      </c>
      <c r="D245" s="91">
        <f t="shared" si="12"/>
        <v>1</v>
      </c>
      <c r="E245" s="91">
        <f t="shared" si="12"/>
        <v>2.0460000000000003</v>
      </c>
      <c r="F245" s="91">
        <f t="shared" si="12"/>
        <v>2.0460000000000003</v>
      </c>
      <c r="G245" s="91">
        <f t="shared" si="12"/>
        <v>2.0460000000000003</v>
      </c>
      <c r="H245" s="91">
        <f t="shared" si="12"/>
        <v>2.0460000000000003</v>
      </c>
      <c r="I245" s="39"/>
    </row>
    <row r="246" spans="1:9" x14ac:dyDescent="0.25">
      <c r="C246" s="3" t="s">
        <v>269</v>
      </c>
      <c r="D246" s="91">
        <f t="shared" si="12"/>
        <v>1</v>
      </c>
      <c r="E246" s="91">
        <f t="shared" si="12"/>
        <v>3.3109999999999999</v>
      </c>
      <c r="F246" s="91">
        <f t="shared" si="12"/>
        <v>3.3109999999999999</v>
      </c>
      <c r="G246" s="91">
        <f t="shared" si="12"/>
        <v>3.3109999999999999</v>
      </c>
      <c r="H246" s="91">
        <f t="shared" si="12"/>
        <v>3.3109999999999999</v>
      </c>
      <c r="I246" s="39"/>
    </row>
    <row r="248" spans="1:9" ht="13" customHeight="1" x14ac:dyDescent="0.3">
      <c r="A248" s="67" t="s">
        <v>278</v>
      </c>
      <c r="B248" s="68"/>
      <c r="C248" s="68"/>
      <c r="D248" s="68"/>
      <c r="E248" s="68"/>
      <c r="F248" s="68"/>
      <c r="G248" s="68"/>
      <c r="H248" s="68"/>
      <c r="I248" s="68"/>
    </row>
    <row r="249" spans="1:9" ht="13" customHeight="1" x14ac:dyDescent="0.3">
      <c r="A249" s="39" t="s">
        <v>279</v>
      </c>
      <c r="B249" s="4" t="s">
        <v>265</v>
      </c>
      <c r="C249" s="4" t="s">
        <v>270</v>
      </c>
      <c r="D249" s="70" t="s">
        <v>109</v>
      </c>
      <c r="E249" s="70" t="s">
        <v>96</v>
      </c>
      <c r="F249" s="70" t="s">
        <v>97</v>
      </c>
      <c r="G249" s="70" t="s">
        <v>98</v>
      </c>
      <c r="H249" s="70" t="s">
        <v>99</v>
      </c>
      <c r="I249" s="79"/>
    </row>
    <row r="250" spans="1:9" ht="13" customHeight="1" x14ac:dyDescent="0.3">
      <c r="A250" s="4"/>
      <c r="B250" s="8" t="s">
        <v>87</v>
      </c>
      <c r="C250" s="3" t="s">
        <v>10</v>
      </c>
      <c r="D250" s="91">
        <f t="shared" ref="D250:H259" si="13">IF(D30=1,1,D30*1.1)</f>
        <v>1</v>
      </c>
      <c r="E250" s="91">
        <f t="shared" si="13"/>
        <v>1</v>
      </c>
      <c r="F250" s="91">
        <f t="shared" si="13"/>
        <v>1</v>
      </c>
      <c r="G250" s="91">
        <f t="shared" si="13"/>
        <v>1</v>
      </c>
      <c r="H250" s="91">
        <f t="shared" si="13"/>
        <v>1</v>
      </c>
      <c r="I250" s="80"/>
    </row>
    <row r="251" spans="1:9" x14ac:dyDescent="0.25">
      <c r="C251" s="3" t="s">
        <v>267</v>
      </c>
      <c r="D251" s="91">
        <f t="shared" si="13"/>
        <v>1</v>
      </c>
      <c r="E251" s="91">
        <f t="shared" si="13"/>
        <v>1.7600000000000002</v>
      </c>
      <c r="F251" s="91">
        <f t="shared" si="13"/>
        <v>1.7600000000000002</v>
      </c>
      <c r="G251" s="91">
        <f t="shared" si="13"/>
        <v>1.7600000000000002</v>
      </c>
      <c r="H251" s="91">
        <f t="shared" si="13"/>
        <v>1.7600000000000002</v>
      </c>
      <c r="I251" s="39"/>
    </row>
    <row r="252" spans="1:9" x14ac:dyDescent="0.25">
      <c r="C252" s="3" t="s">
        <v>209</v>
      </c>
      <c r="D252" s="91">
        <f t="shared" si="13"/>
        <v>1</v>
      </c>
      <c r="E252" s="91">
        <f t="shared" si="13"/>
        <v>3.7510000000000003</v>
      </c>
      <c r="F252" s="91">
        <f t="shared" si="13"/>
        <v>3.7510000000000003</v>
      </c>
      <c r="G252" s="91">
        <f t="shared" si="13"/>
        <v>3.7510000000000003</v>
      </c>
      <c r="H252" s="91">
        <f t="shared" si="13"/>
        <v>3.7510000000000003</v>
      </c>
      <c r="I252" s="39"/>
    </row>
    <row r="253" spans="1:9" x14ac:dyDescent="0.25">
      <c r="C253" s="3" t="s">
        <v>208</v>
      </c>
      <c r="D253" s="91">
        <f t="shared" si="13"/>
        <v>1</v>
      </c>
      <c r="E253" s="91">
        <f t="shared" si="13"/>
        <v>13.563000000000001</v>
      </c>
      <c r="F253" s="91">
        <f t="shared" si="13"/>
        <v>13.563000000000001</v>
      </c>
      <c r="G253" s="91">
        <f t="shared" si="13"/>
        <v>13.563000000000001</v>
      </c>
      <c r="H253" s="91">
        <f t="shared" si="13"/>
        <v>13.563000000000001</v>
      </c>
      <c r="I253" s="39"/>
    </row>
    <row r="254" spans="1:9" x14ac:dyDescent="0.25">
      <c r="B254" s="8" t="s">
        <v>88</v>
      </c>
      <c r="C254" s="3" t="s">
        <v>10</v>
      </c>
      <c r="D254" s="91">
        <f t="shared" si="13"/>
        <v>1</v>
      </c>
      <c r="E254" s="91">
        <f t="shared" si="13"/>
        <v>1</v>
      </c>
      <c r="F254" s="91">
        <f t="shared" si="13"/>
        <v>1</v>
      </c>
      <c r="G254" s="91">
        <f t="shared" si="13"/>
        <v>1</v>
      </c>
      <c r="H254" s="91">
        <f t="shared" si="13"/>
        <v>1</v>
      </c>
      <c r="I254" s="39"/>
    </row>
    <row r="255" spans="1:9" x14ac:dyDescent="0.25">
      <c r="C255" s="3" t="s">
        <v>267</v>
      </c>
      <c r="D255" s="91">
        <f t="shared" si="13"/>
        <v>1</v>
      </c>
      <c r="E255" s="91">
        <f t="shared" si="13"/>
        <v>2.1120000000000001</v>
      </c>
      <c r="F255" s="91">
        <f t="shared" si="13"/>
        <v>2.1120000000000001</v>
      </c>
      <c r="G255" s="91">
        <f t="shared" si="13"/>
        <v>2.1120000000000001</v>
      </c>
      <c r="H255" s="91">
        <f t="shared" si="13"/>
        <v>2.1120000000000001</v>
      </c>
      <c r="I255" s="39"/>
    </row>
    <row r="256" spans="1:9" x14ac:dyDescent="0.25">
      <c r="C256" s="3" t="s">
        <v>209</v>
      </c>
      <c r="D256" s="91">
        <f t="shared" si="13"/>
        <v>1</v>
      </c>
      <c r="E256" s="91">
        <f t="shared" si="13"/>
        <v>5.1260000000000003</v>
      </c>
      <c r="F256" s="91">
        <f t="shared" si="13"/>
        <v>5.1260000000000003</v>
      </c>
      <c r="G256" s="91">
        <f t="shared" si="13"/>
        <v>5.1260000000000003</v>
      </c>
      <c r="H256" s="91">
        <f t="shared" si="13"/>
        <v>5.1260000000000003</v>
      </c>
      <c r="I256" s="39"/>
    </row>
    <row r="257" spans="2:9" x14ac:dyDescent="0.25">
      <c r="C257" s="3" t="s">
        <v>208</v>
      </c>
      <c r="D257" s="91">
        <f t="shared" si="13"/>
        <v>1</v>
      </c>
      <c r="E257" s="91">
        <f t="shared" si="13"/>
        <v>10.648</v>
      </c>
      <c r="F257" s="91">
        <f t="shared" si="13"/>
        <v>10.648</v>
      </c>
      <c r="G257" s="91">
        <f t="shared" si="13"/>
        <v>10.648</v>
      </c>
      <c r="H257" s="91">
        <f t="shared" si="13"/>
        <v>10.648</v>
      </c>
      <c r="I257" s="39"/>
    </row>
    <row r="258" spans="2:9" x14ac:dyDescent="0.25">
      <c r="B258" s="8" t="s">
        <v>90</v>
      </c>
      <c r="C258" s="3" t="s">
        <v>10</v>
      </c>
      <c r="D258" s="91">
        <f t="shared" si="13"/>
        <v>1</v>
      </c>
      <c r="E258" s="91">
        <f t="shared" si="13"/>
        <v>1</v>
      </c>
      <c r="F258" s="91">
        <f t="shared" si="13"/>
        <v>1</v>
      </c>
      <c r="G258" s="91">
        <f t="shared" si="13"/>
        <v>1</v>
      </c>
      <c r="H258" s="91">
        <f t="shared" si="13"/>
        <v>1</v>
      </c>
      <c r="I258" s="39"/>
    </row>
    <row r="259" spans="2:9" x14ac:dyDescent="0.25">
      <c r="C259" s="3" t="s">
        <v>267</v>
      </c>
      <c r="D259" s="91">
        <f t="shared" si="13"/>
        <v>1</v>
      </c>
      <c r="E259" s="91">
        <f t="shared" si="13"/>
        <v>1</v>
      </c>
      <c r="F259" s="91">
        <f t="shared" si="13"/>
        <v>1</v>
      </c>
      <c r="G259" s="91">
        <f t="shared" si="13"/>
        <v>1</v>
      </c>
      <c r="H259" s="91">
        <f t="shared" si="13"/>
        <v>1</v>
      </c>
      <c r="I259" s="39"/>
    </row>
    <row r="260" spans="2:9" x14ac:dyDescent="0.25">
      <c r="C260" s="3" t="s">
        <v>209</v>
      </c>
      <c r="D260" s="91">
        <f t="shared" ref="D260:H269" si="14">IF(D40=1,1,D40*1.1)</f>
        <v>1</v>
      </c>
      <c r="E260" s="91">
        <f t="shared" si="14"/>
        <v>2.8380000000000005</v>
      </c>
      <c r="F260" s="91">
        <f t="shared" si="14"/>
        <v>2.8380000000000005</v>
      </c>
      <c r="G260" s="91">
        <f t="shared" si="14"/>
        <v>2.8380000000000005</v>
      </c>
      <c r="H260" s="91">
        <f t="shared" si="14"/>
        <v>2.8380000000000005</v>
      </c>
      <c r="I260" s="39"/>
    </row>
    <row r="261" spans="2:9" x14ac:dyDescent="0.25">
      <c r="C261" s="3" t="s">
        <v>208</v>
      </c>
      <c r="D261" s="91">
        <f t="shared" si="14"/>
        <v>1</v>
      </c>
      <c r="E261" s="91">
        <f t="shared" si="14"/>
        <v>10.593000000000002</v>
      </c>
      <c r="F261" s="91">
        <f t="shared" si="14"/>
        <v>10.593000000000002</v>
      </c>
      <c r="G261" s="91">
        <f t="shared" si="14"/>
        <v>10.593000000000002</v>
      </c>
      <c r="H261" s="91">
        <f t="shared" si="14"/>
        <v>10.593000000000002</v>
      </c>
      <c r="I261" s="39"/>
    </row>
    <row r="262" spans="2:9" x14ac:dyDescent="0.25">
      <c r="B262" s="8" t="s">
        <v>91</v>
      </c>
      <c r="C262" s="3" t="s">
        <v>10</v>
      </c>
      <c r="D262" s="91">
        <f t="shared" si="14"/>
        <v>1</v>
      </c>
      <c r="E262" s="91">
        <f t="shared" si="14"/>
        <v>1</v>
      </c>
      <c r="F262" s="91">
        <f t="shared" si="14"/>
        <v>1</v>
      </c>
      <c r="G262" s="91">
        <f t="shared" si="14"/>
        <v>1</v>
      </c>
      <c r="H262" s="91">
        <f t="shared" si="14"/>
        <v>1</v>
      </c>
      <c r="I262" s="39"/>
    </row>
    <row r="263" spans="2:9" x14ac:dyDescent="0.25">
      <c r="C263" s="3" t="s">
        <v>267</v>
      </c>
      <c r="D263" s="91">
        <f t="shared" si="14"/>
        <v>1</v>
      </c>
      <c r="E263" s="91">
        <f t="shared" si="14"/>
        <v>1</v>
      </c>
      <c r="F263" s="91">
        <f t="shared" si="14"/>
        <v>1</v>
      </c>
      <c r="G263" s="91">
        <f t="shared" si="14"/>
        <v>1</v>
      </c>
      <c r="H263" s="91">
        <f t="shared" si="14"/>
        <v>1</v>
      </c>
      <c r="I263" s="39"/>
    </row>
    <row r="264" spans="2:9" x14ac:dyDescent="0.25">
      <c r="C264" s="3" t="s">
        <v>209</v>
      </c>
      <c r="D264" s="91">
        <f t="shared" si="14"/>
        <v>1</v>
      </c>
      <c r="E264" s="91">
        <f t="shared" si="14"/>
        <v>1</v>
      </c>
      <c r="F264" s="91">
        <f t="shared" si="14"/>
        <v>1</v>
      </c>
      <c r="G264" s="91">
        <f t="shared" si="14"/>
        <v>1</v>
      </c>
      <c r="H264" s="91">
        <f t="shared" si="14"/>
        <v>1</v>
      </c>
      <c r="I264" s="39"/>
    </row>
    <row r="265" spans="2:9" x14ac:dyDescent="0.25">
      <c r="C265" s="3" t="s">
        <v>208</v>
      </c>
      <c r="D265" s="91">
        <f t="shared" si="14"/>
        <v>1</v>
      </c>
      <c r="E265" s="91">
        <f t="shared" si="14"/>
        <v>1</v>
      </c>
      <c r="F265" s="91">
        <f t="shared" si="14"/>
        <v>1</v>
      </c>
      <c r="G265" s="91">
        <f t="shared" si="14"/>
        <v>1</v>
      </c>
      <c r="H265" s="91">
        <f t="shared" si="14"/>
        <v>1</v>
      </c>
      <c r="I265" s="39"/>
    </row>
    <row r="266" spans="2:9" x14ac:dyDescent="0.25">
      <c r="B266" s="8" t="s">
        <v>89</v>
      </c>
      <c r="C266" s="3" t="s">
        <v>10</v>
      </c>
      <c r="D266" s="91">
        <f t="shared" si="14"/>
        <v>1</v>
      </c>
      <c r="E266" s="91">
        <f t="shared" si="14"/>
        <v>1</v>
      </c>
      <c r="F266" s="91">
        <f t="shared" si="14"/>
        <v>1</v>
      </c>
      <c r="G266" s="91">
        <f t="shared" si="14"/>
        <v>1</v>
      </c>
      <c r="H266" s="91">
        <f t="shared" si="14"/>
        <v>1</v>
      </c>
      <c r="I266" s="39"/>
    </row>
    <row r="267" spans="2:9" x14ac:dyDescent="0.25">
      <c r="C267" s="3" t="s">
        <v>267</v>
      </c>
      <c r="D267" s="91">
        <f t="shared" si="14"/>
        <v>1</v>
      </c>
      <c r="E267" s="91">
        <f t="shared" si="14"/>
        <v>1.8149999999999999</v>
      </c>
      <c r="F267" s="91">
        <f t="shared" si="14"/>
        <v>1.8149999999999999</v>
      </c>
      <c r="G267" s="91">
        <f t="shared" si="14"/>
        <v>1.8149999999999999</v>
      </c>
      <c r="H267" s="91">
        <f t="shared" si="14"/>
        <v>1.8149999999999999</v>
      </c>
      <c r="I267" s="39"/>
    </row>
    <row r="268" spans="2:9" x14ac:dyDescent="0.25">
      <c r="C268" s="3" t="s">
        <v>209</v>
      </c>
      <c r="D268" s="91">
        <f t="shared" si="14"/>
        <v>1</v>
      </c>
      <c r="E268" s="91">
        <f t="shared" si="14"/>
        <v>3.0030000000000001</v>
      </c>
      <c r="F268" s="91">
        <f t="shared" si="14"/>
        <v>3.0030000000000001</v>
      </c>
      <c r="G268" s="91">
        <f t="shared" si="14"/>
        <v>3.0030000000000001</v>
      </c>
      <c r="H268" s="91">
        <f t="shared" si="14"/>
        <v>3.0030000000000001</v>
      </c>
      <c r="I268" s="39"/>
    </row>
    <row r="269" spans="2:9" x14ac:dyDescent="0.25">
      <c r="C269" s="3" t="s">
        <v>208</v>
      </c>
      <c r="D269" s="91">
        <f t="shared" si="14"/>
        <v>1</v>
      </c>
      <c r="E269" s="91">
        <f t="shared" si="14"/>
        <v>12.331000000000001</v>
      </c>
      <c r="F269" s="91">
        <f t="shared" si="14"/>
        <v>12.331000000000001</v>
      </c>
      <c r="G269" s="91">
        <f t="shared" si="14"/>
        <v>12.331000000000001</v>
      </c>
      <c r="H269" s="91">
        <f t="shared" si="14"/>
        <v>12.331000000000001</v>
      </c>
      <c r="I269" s="39"/>
    </row>
    <row r="270" spans="2:9" x14ac:dyDescent="0.25">
      <c r="B270" s="8" t="s">
        <v>95</v>
      </c>
      <c r="C270" s="3" t="s">
        <v>10</v>
      </c>
      <c r="D270" s="91">
        <f t="shared" ref="D270:H273" si="15">IF(D50=1,1,D50*1.1)</f>
        <v>1</v>
      </c>
      <c r="E270" s="91">
        <f t="shared" si="15"/>
        <v>1</v>
      </c>
      <c r="F270" s="91">
        <f t="shared" si="15"/>
        <v>1</v>
      </c>
      <c r="G270" s="91">
        <f t="shared" si="15"/>
        <v>1</v>
      </c>
      <c r="H270" s="91">
        <f t="shared" si="15"/>
        <v>1</v>
      </c>
      <c r="I270" s="39"/>
    </row>
    <row r="271" spans="2:9" x14ac:dyDescent="0.25">
      <c r="C271" s="3" t="s">
        <v>267</v>
      </c>
      <c r="D271" s="91">
        <f t="shared" si="15"/>
        <v>1</v>
      </c>
      <c r="E271" s="91">
        <f t="shared" si="15"/>
        <v>1.8149999999999999</v>
      </c>
      <c r="F271" s="91">
        <f t="shared" si="15"/>
        <v>1.8149999999999999</v>
      </c>
      <c r="G271" s="91">
        <f t="shared" si="15"/>
        <v>1.8149999999999999</v>
      </c>
      <c r="H271" s="91">
        <f t="shared" si="15"/>
        <v>1.8149999999999999</v>
      </c>
      <c r="I271" s="39"/>
    </row>
    <row r="272" spans="2:9" x14ac:dyDescent="0.25">
      <c r="C272" s="3" t="s">
        <v>209</v>
      </c>
      <c r="D272" s="91">
        <f t="shared" si="15"/>
        <v>1</v>
      </c>
      <c r="E272" s="91">
        <f t="shared" si="15"/>
        <v>3.0030000000000001</v>
      </c>
      <c r="F272" s="91">
        <f t="shared" si="15"/>
        <v>3.0030000000000001</v>
      </c>
      <c r="G272" s="91">
        <f t="shared" si="15"/>
        <v>3.0030000000000001</v>
      </c>
      <c r="H272" s="91">
        <f t="shared" si="15"/>
        <v>3.0030000000000001</v>
      </c>
      <c r="I272" s="39"/>
    </row>
    <row r="273" spans="1:9" x14ac:dyDescent="0.25">
      <c r="C273" s="3" t="s">
        <v>208</v>
      </c>
      <c r="D273" s="91">
        <f t="shared" si="15"/>
        <v>1</v>
      </c>
      <c r="E273" s="91">
        <f t="shared" si="15"/>
        <v>12.331000000000001</v>
      </c>
      <c r="F273" s="91">
        <f t="shared" si="15"/>
        <v>12.331000000000001</v>
      </c>
      <c r="G273" s="91">
        <f t="shared" si="15"/>
        <v>12.331000000000001</v>
      </c>
      <c r="H273" s="91">
        <f t="shared" si="15"/>
        <v>12.331000000000001</v>
      </c>
      <c r="I273" s="39"/>
    </row>
    <row r="274" spans="1:9" x14ac:dyDescent="0.25">
      <c r="C274" s="3"/>
      <c r="D274" s="3"/>
    </row>
    <row r="275" spans="1:9" ht="13" customHeight="1" x14ac:dyDescent="0.3">
      <c r="A275" s="67" t="s">
        <v>271</v>
      </c>
      <c r="B275" s="68"/>
      <c r="C275" s="68"/>
      <c r="D275" s="68"/>
      <c r="E275" s="68"/>
      <c r="F275" s="68"/>
      <c r="G275" s="68"/>
      <c r="H275" s="68"/>
      <c r="I275" s="68"/>
    </row>
    <row r="276" spans="1:9" ht="26" customHeight="1" x14ac:dyDescent="0.3">
      <c r="A276" s="39" t="s">
        <v>121</v>
      </c>
      <c r="B276" s="4" t="s">
        <v>265</v>
      </c>
      <c r="C276" s="69" t="s">
        <v>272</v>
      </c>
      <c r="D276" s="70" t="s">
        <v>122</v>
      </c>
      <c r="E276" s="70" t="s">
        <v>123</v>
      </c>
      <c r="F276" s="70" t="s">
        <v>124</v>
      </c>
      <c r="G276" s="70" t="s">
        <v>125</v>
      </c>
      <c r="H276" s="79"/>
    </row>
    <row r="277" spans="1:9" ht="13" customHeight="1" x14ac:dyDescent="0.3">
      <c r="A277" s="4"/>
      <c r="B277" s="8" t="s">
        <v>101</v>
      </c>
      <c r="C277" s="3" t="s">
        <v>273</v>
      </c>
      <c r="D277" s="91">
        <f t="shared" ref="D277:G282" si="16">IF(D57=1,1,D57*1.1)</f>
        <v>1</v>
      </c>
      <c r="E277" s="91">
        <f t="shared" si="16"/>
        <v>1</v>
      </c>
      <c r="F277" s="91">
        <f t="shared" si="16"/>
        <v>1</v>
      </c>
      <c r="G277" s="91">
        <f t="shared" si="16"/>
        <v>1</v>
      </c>
      <c r="H277" s="39"/>
    </row>
    <row r="278" spans="1:9" x14ac:dyDescent="0.25">
      <c r="C278" s="3" t="s">
        <v>274</v>
      </c>
      <c r="D278" s="91">
        <f t="shared" si="16"/>
        <v>11.742500000000001</v>
      </c>
      <c r="E278" s="91">
        <f t="shared" si="16"/>
        <v>11.742500000000001</v>
      </c>
      <c r="F278" s="91">
        <f t="shared" si="16"/>
        <v>11.742500000000001</v>
      </c>
      <c r="G278" s="91">
        <f t="shared" si="16"/>
        <v>11.742500000000001</v>
      </c>
      <c r="H278" s="39"/>
    </row>
    <row r="279" spans="1:9" x14ac:dyDescent="0.25">
      <c r="B279" s="8" t="s">
        <v>102</v>
      </c>
      <c r="C279" s="3" t="s">
        <v>273</v>
      </c>
      <c r="D279" s="91">
        <f t="shared" si="16"/>
        <v>1</v>
      </c>
      <c r="E279" s="91">
        <f t="shared" si="16"/>
        <v>1</v>
      </c>
      <c r="F279" s="91">
        <f t="shared" si="16"/>
        <v>1</v>
      </c>
      <c r="G279" s="91">
        <f t="shared" si="16"/>
        <v>1</v>
      </c>
      <c r="H279" s="39"/>
    </row>
    <row r="280" spans="1:9" x14ac:dyDescent="0.25">
      <c r="C280" s="3" t="s">
        <v>274</v>
      </c>
      <c r="D280" s="91">
        <f t="shared" si="16"/>
        <v>11.742500000000001</v>
      </c>
      <c r="E280" s="91">
        <f t="shared" si="16"/>
        <v>11.742500000000001</v>
      </c>
      <c r="F280" s="91">
        <f t="shared" si="16"/>
        <v>11.742500000000001</v>
      </c>
      <c r="G280" s="91">
        <f t="shared" si="16"/>
        <v>11.742500000000001</v>
      </c>
      <c r="H280" s="39"/>
    </row>
    <row r="281" spans="1:9" x14ac:dyDescent="0.25">
      <c r="B281" s="8" t="s">
        <v>103</v>
      </c>
      <c r="C281" s="3" t="s">
        <v>273</v>
      </c>
      <c r="D281" s="91">
        <f t="shared" si="16"/>
        <v>1</v>
      </c>
      <c r="E281" s="91">
        <f t="shared" si="16"/>
        <v>1</v>
      </c>
      <c r="F281" s="91">
        <f t="shared" si="16"/>
        <v>1</v>
      </c>
      <c r="G281" s="91">
        <f t="shared" si="16"/>
        <v>1</v>
      </c>
      <c r="H281" s="39"/>
    </row>
    <row r="282" spans="1:9" x14ac:dyDescent="0.25">
      <c r="C282" s="3" t="s">
        <v>274</v>
      </c>
      <c r="D282" s="91">
        <f t="shared" si="16"/>
        <v>11.742500000000001</v>
      </c>
      <c r="E282" s="91">
        <f t="shared" si="16"/>
        <v>11.742500000000001</v>
      </c>
      <c r="F282" s="91">
        <f t="shared" si="16"/>
        <v>11.742500000000001</v>
      </c>
      <c r="G282" s="91">
        <f t="shared" si="16"/>
        <v>11.742500000000001</v>
      </c>
      <c r="H282" s="39"/>
    </row>
    <row r="283" spans="1:9" x14ac:dyDescent="0.25">
      <c r="C283" s="3"/>
      <c r="D283" s="3"/>
    </row>
    <row r="284" spans="1:9" ht="13" customHeight="1" x14ac:dyDescent="0.3">
      <c r="A284" s="67" t="s">
        <v>275</v>
      </c>
      <c r="B284" s="68"/>
      <c r="C284" s="68"/>
      <c r="D284" s="68"/>
      <c r="E284" s="68"/>
      <c r="F284" s="68"/>
      <c r="G284" s="68"/>
      <c r="H284" s="68"/>
      <c r="I284" s="68"/>
    </row>
    <row r="285" spans="1:9" ht="26" customHeight="1" x14ac:dyDescent="0.3">
      <c r="A285" s="39" t="s">
        <v>128</v>
      </c>
      <c r="B285" s="4" t="s">
        <v>265</v>
      </c>
      <c r="C285" s="69" t="s">
        <v>276</v>
      </c>
      <c r="D285" s="70" t="s">
        <v>109</v>
      </c>
      <c r="E285" s="70" t="s">
        <v>96</v>
      </c>
      <c r="F285" s="70" t="s">
        <v>97</v>
      </c>
      <c r="G285" s="70" t="s">
        <v>98</v>
      </c>
      <c r="H285" s="81" t="s">
        <v>99</v>
      </c>
      <c r="I285" s="79"/>
    </row>
    <row r="286" spans="1:9" ht="13" customHeight="1" x14ac:dyDescent="0.3">
      <c r="A286" s="82"/>
      <c r="B286" s="8" t="s">
        <v>78</v>
      </c>
      <c r="C286" s="3" t="s">
        <v>129</v>
      </c>
      <c r="D286" s="91">
        <f t="shared" ref="D286:G305" si="17">IF(D66=1,1,D66*1.1)</f>
        <v>1.4850000000000003</v>
      </c>
      <c r="E286" s="91">
        <f t="shared" si="17"/>
        <v>1</v>
      </c>
      <c r="F286" s="91">
        <f t="shared" si="17"/>
        <v>1</v>
      </c>
      <c r="G286" s="91">
        <f t="shared" si="17"/>
        <v>1</v>
      </c>
      <c r="H286" s="39">
        <v>1.05</v>
      </c>
      <c r="I286" s="39"/>
    </row>
    <row r="287" spans="1:9" x14ac:dyDescent="0.25">
      <c r="C287" s="3" t="s">
        <v>130</v>
      </c>
      <c r="D287" s="91">
        <f t="shared" si="17"/>
        <v>1.4850000000000003</v>
      </c>
      <c r="E287" s="91">
        <f t="shared" si="17"/>
        <v>1</v>
      </c>
      <c r="F287" s="91">
        <f t="shared" si="17"/>
        <v>1</v>
      </c>
      <c r="G287" s="91">
        <f t="shared" si="17"/>
        <v>1</v>
      </c>
      <c r="H287" s="39">
        <v>1.05</v>
      </c>
      <c r="I287" s="39"/>
    </row>
    <row r="288" spans="1:9" x14ac:dyDescent="0.25">
      <c r="C288" s="3" t="s">
        <v>131</v>
      </c>
      <c r="D288" s="91">
        <f t="shared" si="17"/>
        <v>1.4850000000000003</v>
      </c>
      <c r="E288" s="91">
        <f t="shared" si="17"/>
        <v>1</v>
      </c>
      <c r="F288" s="91">
        <f t="shared" si="17"/>
        <v>1</v>
      </c>
      <c r="G288" s="91">
        <f t="shared" si="17"/>
        <v>1</v>
      </c>
      <c r="H288" s="39">
        <v>1.05</v>
      </c>
      <c r="I288" s="39"/>
    </row>
    <row r="289" spans="2:9" x14ac:dyDescent="0.25">
      <c r="C289" s="3" t="s">
        <v>132</v>
      </c>
      <c r="D289" s="91">
        <f t="shared" si="17"/>
        <v>5.9400000000000013</v>
      </c>
      <c r="E289" s="91">
        <f t="shared" si="17"/>
        <v>1</v>
      </c>
      <c r="F289" s="91">
        <f t="shared" si="17"/>
        <v>1</v>
      </c>
      <c r="G289" s="91">
        <f t="shared" si="17"/>
        <v>1</v>
      </c>
      <c r="H289" s="39">
        <v>1.05</v>
      </c>
      <c r="I289" s="39"/>
    </row>
    <row r="290" spans="2:9" x14ac:dyDescent="0.25">
      <c r="B290" s="8" t="s">
        <v>79</v>
      </c>
      <c r="C290" s="3" t="s">
        <v>129</v>
      </c>
      <c r="D290" s="91">
        <f t="shared" si="17"/>
        <v>1.4850000000000003</v>
      </c>
      <c r="E290" s="91">
        <f t="shared" si="17"/>
        <v>1</v>
      </c>
      <c r="F290" s="91">
        <f t="shared" si="17"/>
        <v>1</v>
      </c>
      <c r="G290" s="91">
        <f t="shared" si="17"/>
        <v>1</v>
      </c>
      <c r="H290" s="39">
        <v>1.05</v>
      </c>
      <c r="I290" s="39"/>
    </row>
    <row r="291" spans="2:9" x14ac:dyDescent="0.25">
      <c r="C291" s="3" t="s">
        <v>130</v>
      </c>
      <c r="D291" s="91">
        <f t="shared" si="17"/>
        <v>1.4850000000000003</v>
      </c>
      <c r="E291" s="91">
        <f t="shared" si="17"/>
        <v>1</v>
      </c>
      <c r="F291" s="91">
        <f t="shared" si="17"/>
        <v>1</v>
      </c>
      <c r="G291" s="91">
        <f t="shared" si="17"/>
        <v>1</v>
      </c>
      <c r="H291" s="39">
        <v>1.05</v>
      </c>
      <c r="I291" s="39"/>
    </row>
    <row r="292" spans="2:9" x14ac:dyDescent="0.25">
      <c r="C292" s="3" t="s">
        <v>131</v>
      </c>
      <c r="D292" s="91">
        <f t="shared" si="17"/>
        <v>1.4850000000000003</v>
      </c>
      <c r="E292" s="91">
        <f t="shared" si="17"/>
        <v>1</v>
      </c>
      <c r="F292" s="91">
        <f t="shared" si="17"/>
        <v>1</v>
      </c>
      <c r="G292" s="91">
        <f t="shared" si="17"/>
        <v>1</v>
      </c>
      <c r="H292" s="39">
        <v>1.05</v>
      </c>
      <c r="I292" s="39"/>
    </row>
    <row r="293" spans="2:9" x14ac:dyDescent="0.25">
      <c r="C293" s="3" t="s">
        <v>132</v>
      </c>
      <c r="D293" s="91">
        <f t="shared" si="17"/>
        <v>5.9400000000000013</v>
      </c>
      <c r="E293" s="91">
        <f t="shared" si="17"/>
        <v>1</v>
      </c>
      <c r="F293" s="91">
        <f t="shared" si="17"/>
        <v>1</v>
      </c>
      <c r="G293" s="91">
        <f t="shared" si="17"/>
        <v>1</v>
      </c>
      <c r="H293" s="39">
        <v>1.05</v>
      </c>
      <c r="I293" s="39"/>
    </row>
    <row r="294" spans="2:9" x14ac:dyDescent="0.25">
      <c r="B294" s="8" t="s">
        <v>80</v>
      </c>
      <c r="C294" s="3" t="s">
        <v>129</v>
      </c>
      <c r="D294" s="91">
        <f t="shared" si="17"/>
        <v>1.4850000000000003</v>
      </c>
      <c r="E294" s="91">
        <f t="shared" si="17"/>
        <v>1</v>
      </c>
      <c r="F294" s="91">
        <f t="shared" si="17"/>
        <v>1</v>
      </c>
      <c r="G294" s="91">
        <f t="shared" si="17"/>
        <v>1</v>
      </c>
      <c r="H294" s="39">
        <v>1.05</v>
      </c>
      <c r="I294" s="39"/>
    </row>
    <row r="295" spans="2:9" x14ac:dyDescent="0.25">
      <c r="C295" s="3" t="s">
        <v>130</v>
      </c>
      <c r="D295" s="91">
        <f t="shared" si="17"/>
        <v>1.4850000000000003</v>
      </c>
      <c r="E295" s="91">
        <f t="shared" si="17"/>
        <v>1</v>
      </c>
      <c r="F295" s="91">
        <f t="shared" si="17"/>
        <v>1</v>
      </c>
      <c r="G295" s="91">
        <f t="shared" si="17"/>
        <v>1</v>
      </c>
      <c r="H295" s="39">
        <v>1.05</v>
      </c>
      <c r="I295" s="39"/>
    </row>
    <row r="296" spans="2:9" x14ac:dyDescent="0.25">
      <c r="C296" s="3" t="s">
        <v>131</v>
      </c>
      <c r="D296" s="91">
        <f t="shared" si="17"/>
        <v>1.4850000000000003</v>
      </c>
      <c r="E296" s="91">
        <f t="shared" si="17"/>
        <v>1</v>
      </c>
      <c r="F296" s="91">
        <f t="shared" si="17"/>
        <v>1</v>
      </c>
      <c r="G296" s="91">
        <f t="shared" si="17"/>
        <v>1</v>
      </c>
      <c r="H296" s="39">
        <v>1.05</v>
      </c>
      <c r="I296" s="39"/>
    </row>
    <row r="297" spans="2:9" x14ac:dyDescent="0.25">
      <c r="C297" s="3" t="s">
        <v>132</v>
      </c>
      <c r="D297" s="91">
        <f t="shared" si="17"/>
        <v>5.9400000000000013</v>
      </c>
      <c r="E297" s="91">
        <f t="shared" si="17"/>
        <v>1</v>
      </c>
      <c r="F297" s="91">
        <f t="shared" si="17"/>
        <v>1</v>
      </c>
      <c r="G297" s="91">
        <f t="shared" si="17"/>
        <v>1</v>
      </c>
      <c r="H297" s="39">
        <v>1.05</v>
      </c>
      <c r="I297" s="39"/>
    </row>
    <row r="298" spans="2:9" x14ac:dyDescent="0.25">
      <c r="B298" s="8" t="s">
        <v>82</v>
      </c>
      <c r="C298" s="3" t="s">
        <v>129</v>
      </c>
      <c r="D298" s="91">
        <f t="shared" si="17"/>
        <v>1</v>
      </c>
      <c r="E298" s="91">
        <f t="shared" si="17"/>
        <v>1</v>
      </c>
      <c r="F298" s="91">
        <f t="shared" si="17"/>
        <v>1</v>
      </c>
      <c r="G298" s="91">
        <f t="shared" si="17"/>
        <v>1</v>
      </c>
      <c r="H298" s="39">
        <v>1.05</v>
      </c>
      <c r="I298" s="39"/>
    </row>
    <row r="299" spans="2:9" x14ac:dyDescent="0.25">
      <c r="C299" s="3" t="s">
        <v>130</v>
      </c>
      <c r="D299" s="91">
        <f t="shared" si="17"/>
        <v>1</v>
      </c>
      <c r="E299" s="91">
        <f t="shared" si="17"/>
        <v>1</v>
      </c>
      <c r="F299" s="91">
        <f t="shared" si="17"/>
        <v>1</v>
      </c>
      <c r="G299" s="91">
        <f t="shared" si="17"/>
        <v>1</v>
      </c>
      <c r="H299" s="39">
        <v>1.05</v>
      </c>
      <c r="I299" s="39"/>
    </row>
    <row r="300" spans="2:9" x14ac:dyDescent="0.25">
      <c r="C300" s="3" t="s">
        <v>131</v>
      </c>
      <c r="D300" s="91">
        <f t="shared" si="17"/>
        <v>1</v>
      </c>
      <c r="E300" s="91">
        <f t="shared" si="17"/>
        <v>1</v>
      </c>
      <c r="F300" s="91">
        <f t="shared" si="17"/>
        <v>1</v>
      </c>
      <c r="G300" s="91">
        <f t="shared" si="17"/>
        <v>1</v>
      </c>
      <c r="H300" s="39">
        <v>1.05</v>
      </c>
      <c r="I300" s="39"/>
    </row>
    <row r="301" spans="2:9" x14ac:dyDescent="0.25">
      <c r="C301" s="3" t="s">
        <v>132</v>
      </c>
      <c r="D301" s="91">
        <f t="shared" si="17"/>
        <v>1</v>
      </c>
      <c r="E301" s="91">
        <f t="shared" si="17"/>
        <v>1</v>
      </c>
      <c r="F301" s="91">
        <f t="shared" si="17"/>
        <v>1</v>
      </c>
      <c r="G301" s="91">
        <f t="shared" si="17"/>
        <v>1</v>
      </c>
      <c r="H301" s="39">
        <v>1.05</v>
      </c>
      <c r="I301" s="39"/>
    </row>
    <row r="302" spans="2:9" x14ac:dyDescent="0.25">
      <c r="B302" s="8" t="s">
        <v>87</v>
      </c>
      <c r="C302" s="3" t="s">
        <v>129</v>
      </c>
      <c r="D302" s="91">
        <f t="shared" si="17"/>
        <v>1</v>
      </c>
      <c r="E302" s="91">
        <f t="shared" si="17"/>
        <v>1</v>
      </c>
      <c r="F302" s="91">
        <f t="shared" si="17"/>
        <v>1</v>
      </c>
      <c r="G302" s="91">
        <f t="shared" si="17"/>
        <v>1</v>
      </c>
      <c r="H302" s="39">
        <v>1.05</v>
      </c>
      <c r="I302" s="39"/>
    </row>
    <row r="303" spans="2:9" x14ac:dyDescent="0.25">
      <c r="C303" s="3" t="s">
        <v>130</v>
      </c>
      <c r="D303" s="91">
        <f t="shared" si="17"/>
        <v>1</v>
      </c>
      <c r="E303" s="91">
        <f t="shared" si="17"/>
        <v>2.508</v>
      </c>
      <c r="F303" s="91">
        <f t="shared" si="17"/>
        <v>1</v>
      </c>
      <c r="G303" s="91">
        <f t="shared" si="17"/>
        <v>1</v>
      </c>
      <c r="H303" s="39">
        <v>1.05</v>
      </c>
      <c r="I303" s="39"/>
    </row>
    <row r="304" spans="2:9" x14ac:dyDescent="0.25">
      <c r="C304" s="3" t="s">
        <v>131</v>
      </c>
      <c r="D304" s="91">
        <f t="shared" si="17"/>
        <v>1</v>
      </c>
      <c r="E304" s="91">
        <f t="shared" si="17"/>
        <v>5.0820000000000007</v>
      </c>
      <c r="F304" s="91">
        <f t="shared" si="17"/>
        <v>1</v>
      </c>
      <c r="G304" s="91">
        <f t="shared" si="17"/>
        <v>1</v>
      </c>
      <c r="H304" s="39">
        <v>1.05</v>
      </c>
      <c r="I304" s="39"/>
    </row>
    <row r="305" spans="2:9" x14ac:dyDescent="0.25">
      <c r="C305" s="3" t="s">
        <v>132</v>
      </c>
      <c r="D305" s="91">
        <f t="shared" si="17"/>
        <v>1</v>
      </c>
      <c r="E305" s="91">
        <f t="shared" si="17"/>
        <v>11.583</v>
      </c>
      <c r="F305" s="91">
        <f t="shared" si="17"/>
        <v>1.617</v>
      </c>
      <c r="G305" s="91">
        <f t="shared" si="17"/>
        <v>2.827</v>
      </c>
      <c r="H305" s="39">
        <v>1.05</v>
      </c>
      <c r="I305" s="39"/>
    </row>
    <row r="306" spans="2:9" x14ac:dyDescent="0.25">
      <c r="B306" s="8" t="s">
        <v>88</v>
      </c>
      <c r="C306" s="3" t="s">
        <v>129</v>
      </c>
      <c r="D306" s="91">
        <f t="shared" ref="D306:G321" si="18">IF(D86=1,1,D86*1.1)</f>
        <v>1</v>
      </c>
      <c r="E306" s="91">
        <f t="shared" si="18"/>
        <v>1</v>
      </c>
      <c r="F306" s="91">
        <f t="shared" si="18"/>
        <v>1</v>
      </c>
      <c r="G306" s="91">
        <f t="shared" si="18"/>
        <v>1</v>
      </c>
      <c r="H306" s="39">
        <v>1.05</v>
      </c>
      <c r="I306" s="39"/>
    </row>
    <row r="307" spans="2:9" x14ac:dyDescent="0.25">
      <c r="C307" s="3" t="s">
        <v>130</v>
      </c>
      <c r="D307" s="91">
        <f t="shared" si="18"/>
        <v>1</v>
      </c>
      <c r="E307" s="91">
        <f t="shared" si="18"/>
        <v>1.8260000000000001</v>
      </c>
      <c r="F307" s="91">
        <f t="shared" si="18"/>
        <v>1</v>
      </c>
      <c r="G307" s="91">
        <f t="shared" si="18"/>
        <v>1</v>
      </c>
      <c r="H307" s="39">
        <v>1.05</v>
      </c>
      <c r="I307" s="39"/>
    </row>
    <row r="308" spans="2:9" x14ac:dyDescent="0.25">
      <c r="C308" s="3" t="s">
        <v>131</v>
      </c>
      <c r="D308" s="91">
        <f t="shared" si="18"/>
        <v>1</v>
      </c>
      <c r="E308" s="91">
        <f t="shared" si="18"/>
        <v>2.75</v>
      </c>
      <c r="F308" s="91">
        <f t="shared" si="18"/>
        <v>1</v>
      </c>
      <c r="G308" s="91">
        <f t="shared" si="18"/>
        <v>1</v>
      </c>
      <c r="H308" s="39">
        <v>1.05</v>
      </c>
      <c r="I308" s="39"/>
    </row>
    <row r="309" spans="2:9" x14ac:dyDescent="0.25">
      <c r="C309" s="3" t="s">
        <v>132</v>
      </c>
      <c r="D309" s="91">
        <f t="shared" si="18"/>
        <v>1</v>
      </c>
      <c r="E309" s="91">
        <f t="shared" si="18"/>
        <v>16.467000000000002</v>
      </c>
      <c r="F309" s="91">
        <f t="shared" si="18"/>
        <v>2.1120000000000001</v>
      </c>
      <c r="G309" s="91">
        <f t="shared" si="18"/>
        <v>2.1120000000000001</v>
      </c>
      <c r="H309" s="39">
        <v>1.05</v>
      </c>
      <c r="I309" s="39"/>
    </row>
    <row r="310" spans="2:9" x14ac:dyDescent="0.25">
      <c r="B310" s="8" t="s">
        <v>90</v>
      </c>
      <c r="C310" s="3" t="s">
        <v>129</v>
      </c>
      <c r="D310" s="91">
        <f t="shared" si="18"/>
        <v>1</v>
      </c>
      <c r="E310" s="91">
        <f t="shared" si="18"/>
        <v>1</v>
      </c>
      <c r="F310" s="91">
        <f t="shared" si="18"/>
        <v>1</v>
      </c>
      <c r="G310" s="91">
        <f t="shared" si="18"/>
        <v>1</v>
      </c>
      <c r="H310" s="39">
        <v>1.05</v>
      </c>
      <c r="I310" s="39"/>
    </row>
    <row r="311" spans="2:9" x14ac:dyDescent="0.25">
      <c r="C311" s="3" t="s">
        <v>130</v>
      </c>
      <c r="D311" s="91">
        <f t="shared" si="18"/>
        <v>1</v>
      </c>
      <c r="E311" s="91">
        <f t="shared" si="18"/>
        <v>1.6280000000000001</v>
      </c>
      <c r="F311" s="91">
        <f t="shared" si="18"/>
        <v>1</v>
      </c>
      <c r="G311" s="91">
        <f t="shared" si="18"/>
        <v>1</v>
      </c>
      <c r="H311" s="39">
        <v>1.05</v>
      </c>
      <c r="I311" s="39"/>
    </row>
    <row r="312" spans="2:9" x14ac:dyDescent="0.25">
      <c r="C312" s="3" t="s">
        <v>131</v>
      </c>
      <c r="D312" s="91">
        <f t="shared" si="18"/>
        <v>1</v>
      </c>
      <c r="E312" s="91">
        <f t="shared" si="18"/>
        <v>3.1240000000000001</v>
      </c>
      <c r="F312" s="91">
        <f t="shared" si="18"/>
        <v>1</v>
      </c>
      <c r="G312" s="91">
        <f t="shared" si="18"/>
        <v>1</v>
      </c>
      <c r="H312" s="39">
        <v>1.05</v>
      </c>
      <c r="I312" s="39"/>
    </row>
    <row r="313" spans="2:9" x14ac:dyDescent="0.25">
      <c r="C313" s="3" t="s">
        <v>132</v>
      </c>
      <c r="D313" s="91">
        <f t="shared" si="18"/>
        <v>1</v>
      </c>
      <c r="E313" s="91">
        <f t="shared" si="18"/>
        <v>15.840000000000002</v>
      </c>
      <c r="F313" s="91">
        <f t="shared" si="18"/>
        <v>4.0590000000000002</v>
      </c>
      <c r="G313" s="91">
        <f t="shared" si="18"/>
        <v>4.0590000000000002</v>
      </c>
      <c r="H313" s="39">
        <v>1.05</v>
      </c>
      <c r="I313" s="39"/>
    </row>
    <row r="314" spans="2:9" x14ac:dyDescent="0.25">
      <c r="B314" s="8" t="s">
        <v>89</v>
      </c>
      <c r="C314" s="3" t="s">
        <v>129</v>
      </c>
      <c r="D314" s="91">
        <f t="shared" si="18"/>
        <v>1</v>
      </c>
      <c r="E314" s="91">
        <f t="shared" si="18"/>
        <v>1</v>
      </c>
      <c r="F314" s="91">
        <f t="shared" si="18"/>
        <v>1</v>
      </c>
      <c r="G314" s="91">
        <f t="shared" si="18"/>
        <v>1</v>
      </c>
      <c r="H314" s="39">
        <v>1.05</v>
      </c>
      <c r="I314" s="39"/>
    </row>
    <row r="315" spans="2:9" x14ac:dyDescent="0.25">
      <c r="C315" s="3" t="s">
        <v>130</v>
      </c>
      <c r="D315" s="91">
        <f t="shared" si="18"/>
        <v>1</v>
      </c>
      <c r="E315" s="91">
        <f t="shared" si="18"/>
        <v>1.6280000000000001</v>
      </c>
      <c r="F315" s="91">
        <f t="shared" si="18"/>
        <v>1</v>
      </c>
      <c r="G315" s="91">
        <f t="shared" si="18"/>
        <v>1</v>
      </c>
      <c r="H315" s="39">
        <v>1.05</v>
      </c>
      <c r="I315" s="39"/>
    </row>
    <row r="316" spans="2:9" x14ac:dyDescent="0.25">
      <c r="C316" s="3" t="s">
        <v>131</v>
      </c>
      <c r="D316" s="91">
        <f t="shared" si="18"/>
        <v>1</v>
      </c>
      <c r="E316" s="91">
        <f t="shared" si="18"/>
        <v>3.1240000000000001</v>
      </c>
      <c r="F316" s="91">
        <f t="shared" si="18"/>
        <v>1</v>
      </c>
      <c r="G316" s="91">
        <f t="shared" si="18"/>
        <v>1</v>
      </c>
      <c r="H316" s="39">
        <v>1.05</v>
      </c>
      <c r="I316" s="39"/>
    </row>
    <row r="317" spans="2:9" x14ac:dyDescent="0.25">
      <c r="C317" s="3" t="s">
        <v>132</v>
      </c>
      <c r="D317" s="91">
        <f t="shared" si="18"/>
        <v>1</v>
      </c>
      <c r="E317" s="91">
        <f t="shared" si="18"/>
        <v>15.840000000000002</v>
      </c>
      <c r="F317" s="91">
        <f t="shared" si="18"/>
        <v>4.0590000000000002</v>
      </c>
      <c r="G317" s="91">
        <f t="shared" si="18"/>
        <v>4.0590000000000002</v>
      </c>
      <c r="H317" s="39">
        <v>1.05</v>
      </c>
      <c r="I317" s="39"/>
    </row>
    <row r="318" spans="2:9" x14ac:dyDescent="0.25">
      <c r="B318" s="8" t="s">
        <v>92</v>
      </c>
      <c r="C318" s="3" t="s">
        <v>129</v>
      </c>
      <c r="D318" s="91">
        <f t="shared" si="18"/>
        <v>1</v>
      </c>
      <c r="E318" s="91">
        <f t="shared" si="18"/>
        <v>1</v>
      </c>
      <c r="F318" s="91">
        <f t="shared" si="18"/>
        <v>1</v>
      </c>
      <c r="G318" s="91">
        <f t="shared" si="18"/>
        <v>1</v>
      </c>
      <c r="H318" s="39">
        <v>1.05</v>
      </c>
      <c r="I318" s="39"/>
    </row>
    <row r="319" spans="2:9" x14ac:dyDescent="0.25">
      <c r="C319" s="3" t="s">
        <v>130</v>
      </c>
      <c r="D319" s="91">
        <f t="shared" si="18"/>
        <v>1</v>
      </c>
      <c r="E319" s="91">
        <f t="shared" si="18"/>
        <v>1.6280000000000001</v>
      </c>
      <c r="F319" s="91">
        <f t="shared" si="18"/>
        <v>1</v>
      </c>
      <c r="G319" s="91">
        <f t="shared" si="18"/>
        <v>1</v>
      </c>
      <c r="H319" s="39">
        <v>1.05</v>
      </c>
      <c r="I319" s="39"/>
    </row>
    <row r="320" spans="2:9" x14ac:dyDescent="0.25">
      <c r="C320" s="3" t="s">
        <v>131</v>
      </c>
      <c r="D320" s="91">
        <f t="shared" si="18"/>
        <v>1</v>
      </c>
      <c r="E320" s="91">
        <f t="shared" si="18"/>
        <v>3.1240000000000001</v>
      </c>
      <c r="F320" s="91">
        <f t="shared" si="18"/>
        <v>1</v>
      </c>
      <c r="G320" s="91">
        <f t="shared" si="18"/>
        <v>1</v>
      </c>
      <c r="H320" s="39">
        <v>1.05</v>
      </c>
      <c r="I320" s="39"/>
    </row>
    <row r="321" spans="1:9" x14ac:dyDescent="0.25">
      <c r="C321" s="3" t="s">
        <v>132</v>
      </c>
      <c r="D321" s="91">
        <f t="shared" si="18"/>
        <v>1</v>
      </c>
      <c r="E321" s="91">
        <f t="shared" si="18"/>
        <v>15.840000000000002</v>
      </c>
      <c r="F321" s="91">
        <f t="shared" si="18"/>
        <v>4.0590000000000002</v>
      </c>
      <c r="G321" s="91">
        <f t="shared" si="18"/>
        <v>4.0590000000000002</v>
      </c>
      <c r="H321" s="39">
        <v>1.05</v>
      </c>
      <c r="I321" s="39"/>
    </row>
    <row r="323" spans="1:9" ht="13" customHeight="1" x14ac:dyDescent="0.3">
      <c r="A323" s="67" t="s">
        <v>277</v>
      </c>
      <c r="B323" s="68"/>
      <c r="C323" s="68"/>
      <c r="D323" s="68"/>
      <c r="E323" s="68"/>
      <c r="F323" s="68"/>
      <c r="G323" s="68"/>
      <c r="H323" s="68"/>
      <c r="I323" s="68"/>
    </row>
    <row r="324" spans="1:9" ht="26" customHeight="1" x14ac:dyDescent="0.3">
      <c r="A324" s="39" t="s">
        <v>87</v>
      </c>
      <c r="B324" s="82" t="s">
        <v>132</v>
      </c>
      <c r="C324" s="69" t="s">
        <v>276</v>
      </c>
      <c r="D324" s="70" t="s">
        <v>109</v>
      </c>
      <c r="E324" s="70" t="s">
        <v>96</v>
      </c>
      <c r="F324" s="70" t="s">
        <v>97</v>
      </c>
      <c r="G324" s="70" t="s">
        <v>98</v>
      </c>
      <c r="H324" s="81" t="s">
        <v>99</v>
      </c>
      <c r="I324" s="79"/>
    </row>
    <row r="325" spans="1:9" ht="13" customHeight="1" x14ac:dyDescent="0.3">
      <c r="A325" s="4"/>
      <c r="C325" s="3" t="s">
        <v>129</v>
      </c>
      <c r="D325" s="91">
        <f t="shared" ref="D325:G328" si="19">IF(D105=1,1,D105*1.1)</f>
        <v>1</v>
      </c>
      <c r="E325" s="91">
        <f t="shared" si="19"/>
        <v>1</v>
      </c>
      <c r="F325" s="91">
        <f t="shared" si="19"/>
        <v>1</v>
      </c>
      <c r="G325" s="91">
        <f t="shared" si="19"/>
        <v>1</v>
      </c>
      <c r="H325" s="39">
        <v>1.05</v>
      </c>
      <c r="I325" s="39"/>
    </row>
    <row r="326" spans="1:9" x14ac:dyDescent="0.25">
      <c r="C326" s="3" t="s">
        <v>130</v>
      </c>
      <c r="D326" s="91">
        <f t="shared" si="19"/>
        <v>1.3860000000000001</v>
      </c>
      <c r="E326" s="91">
        <f t="shared" si="19"/>
        <v>1.3860000000000001</v>
      </c>
      <c r="F326" s="91">
        <f t="shared" si="19"/>
        <v>1</v>
      </c>
      <c r="G326" s="91">
        <f t="shared" si="19"/>
        <v>1</v>
      </c>
      <c r="H326" s="39">
        <v>1.05</v>
      </c>
      <c r="I326" s="39"/>
    </row>
    <row r="327" spans="1:9" x14ac:dyDescent="0.25">
      <c r="C327" s="3" t="s">
        <v>131</v>
      </c>
      <c r="D327" s="91">
        <f t="shared" si="19"/>
        <v>1.8480000000000001</v>
      </c>
      <c r="E327" s="91">
        <f t="shared" si="19"/>
        <v>1.8480000000000001</v>
      </c>
      <c r="F327" s="91">
        <f t="shared" si="19"/>
        <v>1</v>
      </c>
      <c r="G327" s="91">
        <f t="shared" si="19"/>
        <v>1</v>
      </c>
      <c r="H327" s="39">
        <v>1.05</v>
      </c>
      <c r="I327" s="39"/>
    </row>
    <row r="328" spans="1:9" x14ac:dyDescent="0.25">
      <c r="C328" s="3" t="s">
        <v>132</v>
      </c>
      <c r="D328" s="91">
        <f t="shared" si="19"/>
        <v>2.915</v>
      </c>
      <c r="E328" s="91">
        <f t="shared" si="19"/>
        <v>2.915</v>
      </c>
      <c r="F328" s="91">
        <f t="shared" si="19"/>
        <v>2.2770000000000001</v>
      </c>
      <c r="G328" s="91">
        <f t="shared" si="19"/>
        <v>2.2770000000000001</v>
      </c>
      <c r="H328" s="39">
        <v>1.05</v>
      </c>
      <c r="I328" s="39"/>
    </row>
  </sheetData>
  <sheetProtection algorithmName="SHA-512" hashValue="l7tbPIBgMtV8iRjE4e7JLqw80ug71AwbbNkBhO9rMIG14m+cxZajZnzPBuaK4KAkwShWHPqAZGYchxpPj8g6Fg==" saltValue="T/d89I7be9EutkvVl07ii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zoomScale="70" zoomScaleNormal="70" workbookViewId="0">
      <selection activeCell="C29" sqref="C29"/>
    </sheetView>
  </sheetViews>
  <sheetFormatPr defaultColWidth="12.81640625" defaultRowHeight="12.5" x14ac:dyDescent="0.25"/>
  <cols>
    <col min="1" max="1" width="44.90625" style="8" customWidth="1"/>
    <col min="2" max="2" width="44.453125" style="8" customWidth="1"/>
    <col min="3" max="3" width="17.81640625" style="8" customWidth="1"/>
    <col min="4" max="4" width="17.54296875" style="8" customWidth="1"/>
    <col min="5" max="5" width="17.1796875" style="8" customWidth="1"/>
    <col min="6" max="6" width="15" style="8" customWidth="1"/>
    <col min="7" max="7" width="13.6328125" style="8" customWidth="1"/>
    <col min="8" max="8" width="12.81640625" style="8" customWidth="1"/>
    <col min="9" max="16384" width="12.81640625" style="8"/>
  </cols>
  <sheetData>
    <row r="1" spans="1:7" s="68" customFormat="1" ht="14.25" customHeight="1" x14ac:dyDescent="0.3">
      <c r="A1" s="67" t="s">
        <v>233</v>
      </c>
    </row>
    <row r="2" spans="1:7" ht="14.25" customHeight="1" x14ac:dyDescent="0.3">
      <c r="A2" s="82" t="s">
        <v>7</v>
      </c>
      <c r="B2" s="1"/>
      <c r="C2" s="4" t="s">
        <v>109</v>
      </c>
      <c r="D2" s="4" t="s">
        <v>96</v>
      </c>
      <c r="E2" s="4" t="s">
        <v>97</v>
      </c>
      <c r="F2" s="4" t="s">
        <v>98</v>
      </c>
      <c r="G2" s="4" t="s">
        <v>99</v>
      </c>
    </row>
    <row r="3" spans="1:7" ht="14.25" customHeight="1" x14ac:dyDescent="0.25">
      <c r="B3" s="11" t="s">
        <v>280</v>
      </c>
      <c r="C3" s="90" t="s">
        <v>11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3">
      <c r="A4" s="4"/>
      <c r="B4" s="5" t="s">
        <v>281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3">
      <c r="A5" s="14" t="s">
        <v>282</v>
      </c>
    </row>
    <row r="6" spans="1:7" ht="14.25" customHeight="1" x14ac:dyDescent="0.25">
      <c r="B6" s="5" t="s">
        <v>192</v>
      </c>
      <c r="C6" s="90">
        <v>1</v>
      </c>
      <c r="D6" s="90">
        <v>1</v>
      </c>
      <c r="E6" s="90">
        <f>IF(ISBLANK('Dist. de l''état nutritionnel'!$E$4),0.64, (0.64*SUM('Dist. de l''état nutritionnel'!$E$4:$E$5)/(1-0.64*SUM('Dist. de l''état nutritionnel'!$E$4:$E$5)))
/ (SUM('Dist. de l''état nutritionnel'!$E$4:$E$5)/(1-SUM('Dist. de l''état nutritionnel'!$E$4:$E$5))))</f>
        <v>0.59126043729038757</v>
      </c>
      <c r="F6" s="90">
        <f>IF(ISBLANK('Dist. de l''état nutritionnel'!$F$4),0.64, (0.64*SUM('Dist. de l''état nutritionnel'!$F$4:$F$5)/(1-0.64*SUM('Dist. de l''état nutritionnel'!$F$4:$F$5)))/ (SUM('Dist. de l''état nutritionnel'!$F$4:$F$5)/(1-SUM('Dist. de l''état nutritionnel'!$F$4:$F$5))))</f>
        <v>0.53626741663052269</v>
      </c>
      <c r="G6" s="90">
        <v>1</v>
      </c>
    </row>
    <row r="7" spans="1:7" ht="14.25" customHeight="1" x14ac:dyDescent="0.25">
      <c r="B7" s="5" t="s">
        <v>185</v>
      </c>
      <c r="C7" s="90">
        <v>1</v>
      </c>
      <c r="D7" s="90">
        <v>1</v>
      </c>
      <c r="E7" s="90">
        <f>IF(ISBLANK('Dist. de l''état nutritionnel'!$E$4),0.88, (0.88*SUM('Dist. de l''état nutritionnel'!$E$4:$E$5)/(1-0.88*SUM('Dist. de l''état nutritionnel'!$E$4:$E$5)))/ (SUM('Dist. de l''état nutritionnel'!$E$4:$E$5)/(1-SUM('Dist. de l''état nutritionnel'!$E$4:$E$5))))</f>
        <v>0.85646621458076588</v>
      </c>
      <c r="F7" s="90">
        <f>IF(ISBLANK('Dist. de l''état nutritionnel'!$F$4),0.88, (0.88*SUM('Dist. de l''état nutritionnel'!$F$4:$F$5)/(1-0.88*SUM('Dist. de l''état nutritionnel'!$F$4:$F$5)))/ (SUM('Dist. de l''état nutritionnel'!$F$4:$F$5)/(1-SUM('Dist. de l''état nutritionnel'!$F$4:$F$5))))</f>
        <v>0.82669616547809799</v>
      </c>
      <c r="G7" s="90">
        <v>1</v>
      </c>
    </row>
    <row r="8" spans="1:7" ht="14.25" customHeight="1" x14ac:dyDescent="0.25">
      <c r="B8" s="5" t="s">
        <v>205</v>
      </c>
      <c r="C8" s="90">
        <v>1</v>
      </c>
      <c r="D8" s="90">
        <v>1</v>
      </c>
      <c r="E8" s="90">
        <f>IF(ISBLANK('Dist. de l''état nutritionnel'!$E$4),0.88, (0.88*SUM('Dist. de l''état nutritionnel'!$E$4:$E$5)/(1-0.88*SUM('Dist. de l''état nutritionnel'!$E$4:$E$5)))/ (SUM('Dist. de l''état nutritionnel'!$E$4:$E$5)/(1-SUM('Dist. de l''état nutritionnel'!$E$4:$E$5))))</f>
        <v>0.85646621458076588</v>
      </c>
      <c r="F8" s="90">
        <f>IF(ISBLANK('Dist. de l''état nutritionnel'!$F$4),0.88, (0.88*SUM('Dist. de l''état nutritionnel'!$F$4:$F$5)/(1-0.88*SUM('Dist. de l''état nutritionnel'!$F$4:$F$5)))/ (SUM('Dist. de l''état nutritionnel'!$F$4:$F$5)/(1-SUM('Dist. de l''état nutritionnel'!$F$4:$F$5))))</f>
        <v>0.82669616547809799</v>
      </c>
      <c r="G8" s="90">
        <v>1</v>
      </c>
    </row>
    <row r="9" spans="1:7" ht="14.25" customHeight="1" x14ac:dyDescent="0.25">
      <c r="B9" s="5" t="s">
        <v>200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5">
      <c r="B10" s="5"/>
      <c r="C10" s="5"/>
      <c r="D10" s="5"/>
      <c r="E10" s="5"/>
      <c r="F10" s="5"/>
      <c r="G10" s="5"/>
    </row>
    <row r="11" spans="1:7" s="68" customFormat="1" ht="14.25" customHeight="1" x14ac:dyDescent="0.3">
      <c r="A11" s="67" t="s">
        <v>286</v>
      </c>
    </row>
    <row r="12" spans="1:7" ht="14.25" customHeight="1" x14ac:dyDescent="0.3">
      <c r="A12" s="14"/>
      <c r="B12" s="11" t="s">
        <v>184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3">
      <c r="A13" s="14"/>
      <c r="B13" s="11"/>
    </row>
    <row r="14" spans="1:7" s="68" customFormat="1" ht="14.25" customHeight="1" x14ac:dyDescent="0.3">
      <c r="A14" s="67" t="s">
        <v>283</v>
      </c>
    </row>
    <row r="15" spans="1:7" ht="14.25" customHeight="1" x14ac:dyDescent="0.3">
      <c r="A15" s="82" t="s">
        <v>279</v>
      </c>
      <c r="B15" s="5" t="s">
        <v>284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3">
      <c r="A16" s="4"/>
      <c r="B16" s="5" t="s">
        <v>287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3">
      <c r="A17" s="82" t="s">
        <v>121</v>
      </c>
      <c r="B17" s="11" t="s">
        <v>285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5"/>
    <row r="19" spans="1:7" s="68" customFormat="1" ht="14.25" customHeight="1" x14ac:dyDescent="0.3">
      <c r="A19" s="67" t="s">
        <v>288</v>
      </c>
    </row>
    <row r="20" spans="1:7" s="14" customFormat="1" ht="14.25" customHeight="1" x14ac:dyDescent="0.3">
      <c r="C20" s="4" t="s">
        <v>69</v>
      </c>
      <c r="D20" s="4" t="s">
        <v>70</v>
      </c>
      <c r="E20" s="4" t="s">
        <v>71</v>
      </c>
      <c r="F20" s="4" t="s">
        <v>72</v>
      </c>
    </row>
    <row r="21" spans="1:7" x14ac:dyDescent="0.25">
      <c r="B21" s="11" t="s">
        <v>172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ht="13" customHeight="1" x14ac:dyDescent="0.3">
      <c r="A23" s="92" t="s">
        <v>235</v>
      </c>
    </row>
    <row r="24" spans="1:7" ht="13" customHeight="1" x14ac:dyDescent="0.3">
      <c r="A24" s="67" t="s">
        <v>233</v>
      </c>
      <c r="B24" s="68"/>
      <c r="C24" s="68"/>
      <c r="D24" s="68"/>
      <c r="E24" s="68"/>
      <c r="F24" s="68"/>
      <c r="G24" s="68"/>
    </row>
    <row r="25" spans="1:7" ht="13" customHeight="1" x14ac:dyDescent="0.3">
      <c r="A25" s="82" t="s">
        <v>7</v>
      </c>
      <c r="B25" s="1"/>
      <c r="C25" s="4" t="s">
        <v>109</v>
      </c>
      <c r="D25" s="4" t="s">
        <v>96</v>
      </c>
      <c r="E25" s="4" t="s">
        <v>97</v>
      </c>
      <c r="F25" s="4" t="s">
        <v>98</v>
      </c>
      <c r="G25" s="4" t="s">
        <v>99</v>
      </c>
    </row>
    <row r="26" spans="1:7" x14ac:dyDescent="0.25">
      <c r="B26" s="11" t="s">
        <v>289</v>
      </c>
      <c r="C26" s="90" t="s">
        <v>11</v>
      </c>
      <c r="D26" s="90">
        <f>D3*0.9</f>
        <v>40.5</v>
      </c>
      <c r="E26" s="90">
        <f>E3*0.9</f>
        <v>325.44000000000005</v>
      </c>
      <c r="F26" s="90">
        <f>F3*0.9</f>
        <v>157.22999999999999</v>
      </c>
      <c r="G26" s="90">
        <f>G3*0.9</f>
        <v>157.22999999999999</v>
      </c>
    </row>
    <row r="27" spans="1:7" ht="13" customHeight="1" x14ac:dyDescent="0.3">
      <c r="A27" s="4"/>
      <c r="B27" s="5" t="s">
        <v>290</v>
      </c>
      <c r="C27" s="90">
        <f>IF(C4=1,1,C4*0.9)</f>
        <v>0.92249999999999999</v>
      </c>
      <c r="D27" s="90">
        <f>IF(D4=1,1,D4*0.9)</f>
        <v>0.92249999999999999</v>
      </c>
      <c r="E27" s="90">
        <f>IF(E4=1,1,E4*0.9)</f>
        <v>0.92249999999999999</v>
      </c>
      <c r="F27" s="90">
        <f>IF(F4=1,1,F4*0.9)</f>
        <v>0.92249999999999999</v>
      </c>
      <c r="G27" s="90">
        <f>IF(G4=1,1,G4*0.9)</f>
        <v>0.92249999999999999</v>
      </c>
    </row>
    <row r="28" spans="1:7" ht="13" customHeight="1" x14ac:dyDescent="0.3">
      <c r="A28" s="14" t="s">
        <v>291</v>
      </c>
    </row>
    <row r="29" spans="1:7" x14ac:dyDescent="0.25">
      <c r="B29" s="5" t="s">
        <v>292</v>
      </c>
      <c r="C29" s="90">
        <f t="shared" ref="C29:D32" si="0">IF(C6=1,1,C6*0.9)</f>
        <v>1</v>
      </c>
      <c r="D29" s="90">
        <f t="shared" si="0"/>
        <v>1</v>
      </c>
      <c r="E29" s="90">
        <f>IF(ISBLANK('Dist. de l''état nutritionnel'!E$4),0.44, (0.44*SUM('Dist. de l''état nutritionnel'!E$4:E$5)/(1-0.44*SUM('Dist. de l''état nutritionnel'!E$4:E$5)))/ (SUM('Dist. de l''état nutritionnel'!E$4:E$5)/(1-SUM('Dist. de l''état nutritionnel'!E$4:E$5))))</f>
        <v>0.38999153594744634</v>
      </c>
      <c r="F29" s="90">
        <f>IF(ISBLANK('Dist. de l''état nutritionnel'!F$4),0.44, (0.44*SUM('Dist. de l''état nutritionnel'!F$4:F$5)/(1-0.44*SUM('Dist. de l''état nutritionnel'!F$4:F$5)))/ (SUM('Dist. de l''état nutritionnel'!F$4:F$5)/(1-SUM('Dist. de l''état nutritionnel'!F$4:F$5))))</f>
        <v>0.33822789947181492</v>
      </c>
      <c r="G29" s="90">
        <f>IF(G6=1,1,G6*0.9)</f>
        <v>1</v>
      </c>
    </row>
    <row r="30" spans="1:7" x14ac:dyDescent="0.25">
      <c r="B30" s="5" t="s">
        <v>293</v>
      </c>
      <c r="C30" s="90">
        <f t="shared" si="0"/>
        <v>1</v>
      </c>
      <c r="D30" s="90">
        <f t="shared" si="0"/>
        <v>1</v>
      </c>
      <c r="E30" s="90">
        <f>IF(ISBLANK('Dist. de l''état nutritionnel'!E$4),0.85, (0.85*SUM('Dist. de l''état nutritionnel'!E$4:E$5)/(1-0.85*SUM('Dist. de l''état nutritionnel'!E$4:E$5)))/ (SUM('Dist. de l''état nutritionnel'!E$4:E$5)/(1-SUM('Dist. de l''état nutritionnel'!E$4:E$5))))</f>
        <v>0.82177433768423569</v>
      </c>
      <c r="F30" s="90">
        <f>IF(ISBLANK('Dist. de l''état nutritionnel'!F$4),0.85, (0.85*SUM('Dist. de l''état nutritionnel'!F$4:F$5)/(1-0.85*SUM('Dist. de l''état nutritionnel'!F$4:F$5)))/ (SUM('Dist. de l''état nutritionnel'!F$4:F$5)/(1-SUM('Dist. de l''état nutritionnel'!F$4:F$5))))</f>
        <v>0.78660172568325859</v>
      </c>
      <c r="G30" s="90">
        <f>IF(G7=1,1,G7*0.9)</f>
        <v>1</v>
      </c>
    </row>
    <row r="31" spans="1:7" x14ac:dyDescent="0.25">
      <c r="B31" s="5" t="s">
        <v>315</v>
      </c>
      <c r="C31" s="90">
        <f t="shared" si="0"/>
        <v>1</v>
      </c>
      <c r="D31" s="90">
        <f t="shared" si="0"/>
        <v>1</v>
      </c>
      <c r="E31" s="90">
        <f>IF(ISBLANK('Dist. de l''état nutritionnel'!E$4),0.85, (0.85*SUM('Dist. de l''état nutritionnel'!E$4:E$5)/(1-0.85*SUM('Dist. de l''état nutritionnel'!E$4:E$5)))/ (SUM('Dist. de l''état nutritionnel'!E$4:E$5)/(1-SUM('Dist. de l''état nutritionnel'!E$4:E$5))))</f>
        <v>0.82177433768423569</v>
      </c>
      <c r="F31" s="90">
        <f>IF(ISBLANK('Dist. de l''état nutritionnel'!F$4),0.85, (0.85*SUM('Dist. de l''état nutritionnel'!F$4:F$5)/(1-0.85*SUM('Dist. de l''état nutritionnel'!F$4:F$5)))/ (SUM('Dist. de l''état nutritionnel'!F$4:F$5)/(1-SUM('Dist. de l''état nutritionnel'!F$4:F$5))))</f>
        <v>0.78660172568325859</v>
      </c>
      <c r="G31" s="90">
        <f>IF(G8=1,1,G8*0.9)</f>
        <v>1</v>
      </c>
    </row>
    <row r="32" spans="1:7" x14ac:dyDescent="0.25">
      <c r="B32" s="5" t="s">
        <v>294</v>
      </c>
      <c r="C32" s="90">
        <f t="shared" si="0"/>
        <v>1</v>
      </c>
      <c r="D32" s="90">
        <f t="shared" si="0"/>
        <v>1</v>
      </c>
      <c r="E32" s="90">
        <f>IF(E9=1,1,E9*0.9)</f>
        <v>1</v>
      </c>
      <c r="F32" s="90">
        <f>IF(F9=1,1,F9*0.9)</f>
        <v>1</v>
      </c>
      <c r="G32" s="90">
        <f>IF(G9=1,1,G9*0.9)</f>
        <v>1</v>
      </c>
    </row>
    <row r="33" spans="1:7" x14ac:dyDescent="0.25">
      <c r="B33" s="5"/>
      <c r="C33" s="5"/>
      <c r="D33" s="5"/>
      <c r="E33" s="5"/>
      <c r="F33" s="5"/>
      <c r="G33" s="5"/>
    </row>
    <row r="34" spans="1:7" ht="13" customHeight="1" x14ac:dyDescent="0.3">
      <c r="A34" s="67" t="s">
        <v>295</v>
      </c>
      <c r="B34" s="68"/>
      <c r="C34" s="68"/>
      <c r="D34" s="68"/>
      <c r="E34" s="68"/>
      <c r="F34" s="68"/>
      <c r="G34" s="68"/>
    </row>
    <row r="35" spans="1:7" ht="13" customHeight="1" x14ac:dyDescent="0.3">
      <c r="A35" s="14"/>
      <c r="B35" s="11" t="s">
        <v>296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ht="13" customHeight="1" x14ac:dyDescent="0.3">
      <c r="A36" s="14"/>
      <c r="B36" s="11"/>
    </row>
    <row r="37" spans="1:7" ht="13" customHeight="1" x14ac:dyDescent="0.3">
      <c r="A37" s="67" t="s">
        <v>283</v>
      </c>
      <c r="B37" s="68"/>
      <c r="C37" s="68"/>
      <c r="D37" s="68"/>
      <c r="E37" s="68"/>
      <c r="F37" s="68"/>
      <c r="G37" s="68"/>
    </row>
    <row r="38" spans="1:7" ht="13" customHeight="1" x14ac:dyDescent="0.3">
      <c r="A38" s="82" t="s">
        <v>279</v>
      </c>
      <c r="B38" s="5" t="s">
        <v>297</v>
      </c>
      <c r="C38" s="90">
        <f t="shared" ref="C38:G40" si="1">IF(C15=1,1,C15*0.9)</f>
        <v>0.92249999999999999</v>
      </c>
      <c r="D38" s="90">
        <f t="shared" si="1"/>
        <v>0.92249999999999999</v>
      </c>
      <c r="E38" s="90">
        <f t="shared" si="1"/>
        <v>0.92249999999999999</v>
      </c>
      <c r="F38" s="90">
        <f t="shared" si="1"/>
        <v>0.92249999999999999</v>
      </c>
      <c r="G38" s="90">
        <f t="shared" si="1"/>
        <v>0.92249999999999999</v>
      </c>
    </row>
    <row r="39" spans="1:7" ht="13" customHeight="1" x14ac:dyDescent="0.3">
      <c r="A39" s="4"/>
      <c r="B39" s="5" t="s">
        <v>298</v>
      </c>
      <c r="C39" s="90">
        <f t="shared" si="1"/>
        <v>0.92249999999999999</v>
      </c>
      <c r="D39" s="90">
        <f t="shared" si="1"/>
        <v>0.92249999999999999</v>
      </c>
      <c r="E39" s="90">
        <f t="shared" si="1"/>
        <v>0.92249999999999999</v>
      </c>
      <c r="F39" s="90">
        <f t="shared" si="1"/>
        <v>0.92249999999999999</v>
      </c>
      <c r="G39" s="90">
        <f t="shared" si="1"/>
        <v>0.92249999999999999</v>
      </c>
    </row>
    <row r="40" spans="1:7" ht="13" customHeight="1" x14ac:dyDescent="0.3">
      <c r="A40" s="82" t="s">
        <v>121</v>
      </c>
      <c r="B40" s="11" t="s">
        <v>299</v>
      </c>
      <c r="C40" s="90">
        <f t="shared" si="1"/>
        <v>1</v>
      </c>
      <c r="D40" s="90">
        <f t="shared" si="1"/>
        <v>1</v>
      </c>
      <c r="E40" s="90">
        <f t="shared" si="1"/>
        <v>1</v>
      </c>
      <c r="F40" s="90">
        <f t="shared" si="1"/>
        <v>1</v>
      </c>
      <c r="G40" s="90">
        <f t="shared" si="1"/>
        <v>1</v>
      </c>
    </row>
    <row r="42" spans="1:7" ht="13" customHeight="1" x14ac:dyDescent="0.3">
      <c r="A42" s="67" t="s">
        <v>300</v>
      </c>
      <c r="B42" s="68"/>
      <c r="C42" s="68"/>
      <c r="D42" s="68"/>
      <c r="E42" s="68"/>
      <c r="F42" s="68"/>
      <c r="G42" s="68"/>
    </row>
    <row r="43" spans="1:7" ht="13" customHeight="1" x14ac:dyDescent="0.3">
      <c r="A43" s="14"/>
      <c r="B43" s="14"/>
      <c r="C43" s="4" t="s">
        <v>69</v>
      </c>
      <c r="D43" s="4" t="s">
        <v>70</v>
      </c>
      <c r="E43" s="4" t="s">
        <v>71</v>
      </c>
      <c r="F43" s="4" t="s">
        <v>72</v>
      </c>
      <c r="G43" s="14"/>
    </row>
    <row r="44" spans="1:7" x14ac:dyDescent="0.25">
      <c r="B44" s="11" t="s">
        <v>301</v>
      </c>
      <c r="C44" s="90">
        <f>C21*0.9</f>
        <v>1.3680000000000001</v>
      </c>
      <c r="D44" s="90">
        <v>1</v>
      </c>
      <c r="E44" s="90">
        <v>1</v>
      </c>
      <c r="F44" s="90">
        <v>1</v>
      </c>
    </row>
    <row r="46" spans="1:7" s="92" customFormat="1" ht="13" customHeight="1" x14ac:dyDescent="0.3">
      <c r="A46" s="92" t="s">
        <v>239</v>
      </c>
    </row>
    <row r="47" spans="1:7" ht="13" customHeight="1" x14ac:dyDescent="0.3">
      <c r="A47" s="67" t="s">
        <v>233</v>
      </c>
      <c r="B47" s="68"/>
      <c r="C47" s="68"/>
      <c r="D47" s="68"/>
      <c r="E47" s="68"/>
      <c r="F47" s="68"/>
      <c r="G47" s="68"/>
    </row>
    <row r="48" spans="1:7" ht="13" customHeight="1" x14ac:dyDescent="0.3">
      <c r="A48" s="82" t="s">
        <v>7</v>
      </c>
      <c r="B48" s="1"/>
      <c r="C48" s="4" t="s">
        <v>109</v>
      </c>
      <c r="D48" s="4" t="s">
        <v>96</v>
      </c>
      <c r="E48" s="4" t="s">
        <v>97</v>
      </c>
      <c r="F48" s="4" t="s">
        <v>98</v>
      </c>
      <c r="G48" s="4" t="s">
        <v>99</v>
      </c>
    </row>
    <row r="49" spans="1:7" x14ac:dyDescent="0.25">
      <c r="B49" s="11" t="s">
        <v>302</v>
      </c>
      <c r="C49" s="90" t="s">
        <v>11</v>
      </c>
      <c r="D49" s="90">
        <f t="shared" ref="D49:G50" si="2">D3*1.05</f>
        <v>47.25</v>
      </c>
      <c r="E49" s="90">
        <f t="shared" si="2"/>
        <v>379.68000000000006</v>
      </c>
      <c r="F49" s="90">
        <f t="shared" si="2"/>
        <v>183.435</v>
      </c>
      <c r="G49" s="90">
        <f t="shared" si="2"/>
        <v>183.435</v>
      </c>
    </row>
    <row r="50" spans="1:7" ht="13" customHeight="1" x14ac:dyDescent="0.3">
      <c r="A50" s="4"/>
      <c r="B50" s="5" t="s">
        <v>303</v>
      </c>
      <c r="C50" s="90">
        <f>C4*1.05</f>
        <v>1.0762499999999999</v>
      </c>
      <c r="D50" s="90">
        <f t="shared" si="2"/>
        <v>1.0762499999999999</v>
      </c>
      <c r="E50" s="90">
        <f t="shared" si="2"/>
        <v>1.0762499999999999</v>
      </c>
      <c r="F50" s="90">
        <f t="shared" si="2"/>
        <v>1.0762499999999999</v>
      </c>
      <c r="G50" s="90">
        <f t="shared" si="2"/>
        <v>1.0762499999999999</v>
      </c>
    </row>
    <row r="51" spans="1:7" ht="13" customHeight="1" x14ac:dyDescent="0.3">
      <c r="A51" s="14" t="s">
        <v>304</v>
      </c>
    </row>
    <row r="52" spans="1:7" x14ac:dyDescent="0.25">
      <c r="B52" s="5" t="s">
        <v>305</v>
      </c>
      <c r="C52" s="90">
        <f t="shared" ref="C52:D55" si="3">IF(C6=1,1,C6*1.1)</f>
        <v>1</v>
      </c>
      <c r="D52" s="90">
        <f t="shared" si="3"/>
        <v>1</v>
      </c>
      <c r="E52" s="90">
        <f>IF(ISBLANK('Dist. de l''état nutritionnel'!E$4),0.92, (0.92*SUM('Dist. de l''état nutritionnel'!E$4:E$5)/(1-0.92*SUM('Dist. de l''état nutritionnel'!E$4:E$5)))/ (SUM('Dist. de l''état nutritionnel'!E$4:E$5)/(1-SUM('Dist. de l''état nutritionnel'!E$4:E$5))))</f>
        <v>0.90345013402807151</v>
      </c>
      <c r="F52" s="90">
        <f>IF(ISBLANK('Dist. de l''état nutritionnel'!F$4),0.92, (0.92*SUM('Dist. de l''état nutritionnel'!F$4:F$5)/(1-0.92*SUM('Dist. de l''état nutritionnel'!F$4:F$5)))/ (SUM('Dist. de l''état nutritionnel'!F$4:F$5)/(1-SUM('Dist. de l''état nutritionnel'!F$4:F$5))))</f>
        <v>0.88208327176989043</v>
      </c>
      <c r="G52" s="90">
        <f>IF(G6=1,1,G6*1.1)</f>
        <v>1</v>
      </c>
    </row>
    <row r="53" spans="1:7" x14ac:dyDescent="0.25">
      <c r="B53" s="5" t="s">
        <v>306</v>
      </c>
      <c r="C53" s="90">
        <f t="shared" si="3"/>
        <v>1</v>
      </c>
      <c r="D53" s="90">
        <f t="shared" si="3"/>
        <v>1</v>
      </c>
      <c r="E53" s="90">
        <f>IF(ISBLANK('Dist. de l''état nutritionnel'!E$4),0.91, (0.91*SUM('Dist. de l''état nutritionnel'!E$4:E$5)/(1-0.91*SUM('Dist. de l''état nutritionnel'!E$4:E$5)))/ (SUM('Dist. de l''état nutritionnel'!E$4:E$5)/(1-SUM('Dist. de l''état nutritionnel'!E$4:E$5))))</f>
        <v>0.89162509509555987</v>
      </c>
      <c r="F53" s="90">
        <f>IF(ISBLANK('Dist. de l''état nutritionnel'!F$4),0.91, (0.91*SUM('Dist. de l''état nutritionnel'!F$4:F$5)/(1-0.91*SUM('Dist. de l''état nutritionnel'!F$4:F$5)))/ (SUM('Dist. de l''état nutritionnel'!F$4:F$5)/(1-SUM('Dist. de l''état nutritionnel'!F$4:F$5))))</f>
        <v>0.86802358750273567</v>
      </c>
      <c r="G53" s="90">
        <f>IF(G7=1,1,G7*1.1)</f>
        <v>1</v>
      </c>
    </row>
    <row r="54" spans="1:7" x14ac:dyDescent="0.25">
      <c r="B54" s="5" t="s">
        <v>316</v>
      </c>
      <c r="C54" s="90">
        <f t="shared" si="3"/>
        <v>1</v>
      </c>
      <c r="D54" s="90">
        <f t="shared" si="3"/>
        <v>1</v>
      </c>
      <c r="E54" s="90">
        <f>IF(ISBLANK('Dist. de l''état nutritionnel'!E$4),0.91, (0.91*SUM('Dist. de l''état nutritionnel'!E$4:E$5)/(1-0.91*SUM('Dist. de l''état nutritionnel'!E$4:E$5)))/ (SUM('Dist. de l''état nutritionnel'!E$4:E$5)/(1-SUM('Dist. de l''état nutritionnel'!E$4:E$5))))</f>
        <v>0.89162509509555987</v>
      </c>
      <c r="F54" s="90">
        <f>IF(ISBLANK('Dist. de l''état nutritionnel'!F$4),0.91, (0.91*SUM('Dist. de l''état nutritionnel'!F$4:F$5)/(1-0.91*SUM('Dist. de l''état nutritionnel'!F$4:F$5)))/ (SUM('Dist. de l''état nutritionnel'!F$4:F$5)/(1-SUM('Dist. de l''état nutritionnel'!F$4:F$5))))</f>
        <v>0.86802358750273567</v>
      </c>
      <c r="G54" s="90">
        <f>IF(G8=1,1,G8*1.1)</f>
        <v>1</v>
      </c>
    </row>
    <row r="55" spans="1:7" x14ac:dyDescent="0.25">
      <c r="B55" s="5" t="s">
        <v>307</v>
      </c>
      <c r="C55" s="90">
        <f t="shared" si="3"/>
        <v>1</v>
      </c>
      <c r="D55" s="90">
        <f t="shared" si="3"/>
        <v>1</v>
      </c>
      <c r="E55" s="90">
        <f>IF(E9=1,1,E9*1.1)</f>
        <v>1</v>
      </c>
      <c r="F55" s="90">
        <f>IF(F9=1,1,F9*1.1)</f>
        <v>1</v>
      </c>
      <c r="G55" s="90">
        <f>IF(G9=1,1,G9*1.1)</f>
        <v>1</v>
      </c>
    </row>
    <row r="56" spans="1:7" x14ac:dyDescent="0.25">
      <c r="B56" s="5"/>
      <c r="C56" s="5"/>
      <c r="D56" s="5"/>
      <c r="E56" s="5"/>
      <c r="F56" s="5"/>
      <c r="G56" s="5"/>
    </row>
    <row r="57" spans="1:7" ht="13" customHeight="1" x14ac:dyDescent="0.3">
      <c r="A57" s="67" t="s">
        <v>308</v>
      </c>
      <c r="B57" s="68"/>
      <c r="C57" s="68"/>
      <c r="D57" s="68"/>
      <c r="E57" s="68"/>
      <c r="F57" s="68"/>
      <c r="G57" s="68"/>
    </row>
    <row r="58" spans="1:7" ht="13" customHeight="1" x14ac:dyDescent="0.3">
      <c r="A58" s="14"/>
      <c r="B58" s="11" t="s">
        <v>309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ht="13" customHeight="1" x14ac:dyDescent="0.3">
      <c r="A59" s="14"/>
      <c r="B59" s="11"/>
    </row>
    <row r="60" spans="1:7" ht="13" customHeight="1" x14ac:dyDescent="0.3">
      <c r="A60" s="67" t="s">
        <v>283</v>
      </c>
      <c r="B60" s="68"/>
      <c r="C60" s="68"/>
      <c r="D60" s="68"/>
      <c r="E60" s="68"/>
      <c r="F60" s="68"/>
      <c r="G60" s="68"/>
    </row>
    <row r="61" spans="1:7" ht="13" customHeight="1" x14ac:dyDescent="0.3">
      <c r="A61" s="82" t="s">
        <v>279</v>
      </c>
      <c r="B61" s="5" t="s">
        <v>310</v>
      </c>
      <c r="C61" s="90">
        <f t="shared" ref="C61:G63" si="4">IF(C15=1,1,C15*1.1)</f>
        <v>1.1274999999999999</v>
      </c>
      <c r="D61" s="90">
        <f t="shared" si="4"/>
        <v>1.1274999999999999</v>
      </c>
      <c r="E61" s="90">
        <f t="shared" si="4"/>
        <v>1.1274999999999999</v>
      </c>
      <c r="F61" s="90">
        <f t="shared" si="4"/>
        <v>1.1274999999999999</v>
      </c>
      <c r="G61" s="90">
        <f t="shared" si="4"/>
        <v>1.1274999999999999</v>
      </c>
    </row>
    <row r="62" spans="1:7" ht="13" customHeight="1" x14ac:dyDescent="0.3">
      <c r="A62" s="4"/>
      <c r="B62" s="5" t="s">
        <v>311</v>
      </c>
      <c r="C62" s="90">
        <f t="shared" si="4"/>
        <v>1.1274999999999999</v>
      </c>
      <c r="D62" s="90">
        <f t="shared" si="4"/>
        <v>1.1274999999999999</v>
      </c>
      <c r="E62" s="90">
        <f t="shared" si="4"/>
        <v>1.1274999999999999</v>
      </c>
      <c r="F62" s="90">
        <f t="shared" si="4"/>
        <v>1.1274999999999999</v>
      </c>
      <c r="G62" s="90">
        <f t="shared" si="4"/>
        <v>1.1274999999999999</v>
      </c>
    </row>
    <row r="63" spans="1:7" ht="13" customHeight="1" x14ac:dyDescent="0.3">
      <c r="A63" s="82" t="s">
        <v>121</v>
      </c>
      <c r="B63" s="11" t="s">
        <v>312</v>
      </c>
      <c r="C63" s="90">
        <f t="shared" si="4"/>
        <v>1</v>
      </c>
      <c r="D63" s="90">
        <f t="shared" si="4"/>
        <v>1</v>
      </c>
      <c r="E63" s="90">
        <f t="shared" si="4"/>
        <v>1</v>
      </c>
      <c r="F63" s="90">
        <f t="shared" si="4"/>
        <v>1</v>
      </c>
      <c r="G63" s="90">
        <f t="shared" si="4"/>
        <v>1</v>
      </c>
    </row>
    <row r="65" spans="1:7" ht="13" customHeight="1" x14ac:dyDescent="0.3">
      <c r="A65" s="67" t="s">
        <v>313</v>
      </c>
      <c r="B65" s="68"/>
      <c r="C65" s="68"/>
      <c r="D65" s="68"/>
      <c r="E65" s="68"/>
      <c r="F65" s="68"/>
      <c r="G65" s="68"/>
    </row>
    <row r="66" spans="1:7" ht="13" customHeight="1" x14ac:dyDescent="0.3">
      <c r="A66" s="14"/>
      <c r="B66" s="14"/>
      <c r="C66" s="4" t="s">
        <v>69</v>
      </c>
      <c r="D66" s="4" t="s">
        <v>70</v>
      </c>
      <c r="E66" s="4" t="s">
        <v>71</v>
      </c>
      <c r="F66" s="4" t="s">
        <v>72</v>
      </c>
      <c r="G66" s="14"/>
    </row>
    <row r="67" spans="1:7" x14ac:dyDescent="0.25">
      <c r="B67" s="11" t="s">
        <v>314</v>
      </c>
      <c r="C67" s="90">
        <f>C21*1.1</f>
        <v>1.6720000000000002</v>
      </c>
      <c r="D67" s="90">
        <v>1</v>
      </c>
      <c r="E67" s="90">
        <v>1</v>
      </c>
      <c r="F67" s="90">
        <v>1</v>
      </c>
    </row>
  </sheetData>
  <sheetProtection algorithmName="SHA-512" hashValue="66xDUttTebItrH2YMdIAf6FYDYP4wVPRON96B7gybcS7UJPdCEwf6crT7riwB8Eam5x4KUBBYnbEtsI1+E5hDQ==" saltValue="i0Ab5hwmJA7lgs0ZTpFKog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E28" sqref="E28"/>
    </sheetView>
  </sheetViews>
  <sheetFormatPr defaultColWidth="16.08984375" defaultRowHeight="15.75" customHeight="1" x14ac:dyDescent="0.25"/>
  <cols>
    <col min="1" max="1" width="52.1796875" style="8" customWidth="1"/>
    <col min="2" max="6" width="16.08984375" style="8" customWidth="1"/>
    <col min="7" max="7" width="17.1796875" style="8" customWidth="1"/>
    <col min="8" max="9" width="16.08984375" style="8" customWidth="1"/>
    <col min="10" max="16384" width="16.08984375" style="8"/>
  </cols>
  <sheetData>
    <row r="1" spans="1:6" ht="15.75" customHeight="1" x14ac:dyDescent="0.3">
      <c r="A1" s="1" t="s">
        <v>160</v>
      </c>
      <c r="B1" s="4"/>
      <c r="C1" s="4" t="s">
        <v>51</v>
      </c>
      <c r="D1" s="4" t="s">
        <v>53</v>
      </c>
      <c r="E1" s="4" t="s">
        <v>52</v>
      </c>
      <c r="F1" s="1" t="s">
        <v>54</v>
      </c>
    </row>
    <row r="2" spans="1:6" ht="15.75" customHeight="1" x14ac:dyDescent="0.25">
      <c r="A2" s="5" t="s">
        <v>168</v>
      </c>
      <c r="B2" s="5" t="s">
        <v>317</v>
      </c>
      <c r="C2" s="90">
        <v>0.28999999999999998</v>
      </c>
      <c r="D2" s="90">
        <v>0.28999999999999998</v>
      </c>
      <c r="E2" s="90">
        <v>0</v>
      </c>
      <c r="F2" s="90">
        <v>0</v>
      </c>
    </row>
    <row r="3" spans="1:6" ht="15.75" customHeight="1" x14ac:dyDescent="0.25">
      <c r="A3" s="5"/>
      <c r="B3" s="5" t="s">
        <v>318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5">
      <c r="A4" s="5" t="s">
        <v>180</v>
      </c>
      <c r="B4" s="5" t="s">
        <v>317</v>
      </c>
      <c r="C4" s="90">
        <v>0.61</v>
      </c>
      <c r="D4" s="90">
        <v>0.61</v>
      </c>
      <c r="E4" s="90">
        <v>0</v>
      </c>
      <c r="F4" s="90">
        <v>0</v>
      </c>
    </row>
    <row r="5" spans="1:6" ht="15.75" customHeight="1" x14ac:dyDescent="0.25">
      <c r="A5" s="5"/>
      <c r="B5" s="5" t="s">
        <v>318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5">
      <c r="A6" s="5" t="s">
        <v>181</v>
      </c>
      <c r="B6" s="5" t="s">
        <v>317</v>
      </c>
      <c r="C6" s="90">
        <v>0.61</v>
      </c>
      <c r="D6" s="90">
        <v>0.61</v>
      </c>
      <c r="E6" s="90">
        <v>0</v>
      </c>
      <c r="F6" s="90">
        <v>0</v>
      </c>
    </row>
    <row r="7" spans="1:6" ht="15.75" customHeight="1" x14ac:dyDescent="0.25">
      <c r="A7" s="5"/>
      <c r="B7" s="5" t="s">
        <v>318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A8" s="5" t="s">
        <v>182</v>
      </c>
      <c r="B8" s="5" t="s">
        <v>317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5">
      <c r="A9" s="5"/>
      <c r="B9" s="5" t="s">
        <v>318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5">
      <c r="A10" s="5" t="s">
        <v>186</v>
      </c>
      <c r="B10" s="5" t="s">
        <v>317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5">
      <c r="A11" s="5"/>
      <c r="B11" s="5" t="s">
        <v>318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5">
      <c r="A12" s="5" t="s">
        <v>190</v>
      </c>
      <c r="B12" s="5" t="s">
        <v>317</v>
      </c>
      <c r="C12" s="90">
        <f>1-0.93*0.39</f>
        <v>0.63729999999999998</v>
      </c>
      <c r="D12" s="90">
        <f>1-0.93*0.39</f>
        <v>0.63729999999999998</v>
      </c>
      <c r="E12" s="90">
        <v>0</v>
      </c>
      <c r="F12" s="90">
        <v>0</v>
      </c>
    </row>
    <row r="13" spans="1:6" ht="15.75" customHeight="1" x14ac:dyDescent="0.25">
      <c r="A13" s="5"/>
      <c r="B13" s="5" t="s">
        <v>318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3">
      <c r="A15" s="92" t="s">
        <v>235</v>
      </c>
    </row>
    <row r="16" spans="1:6" ht="15.75" customHeight="1" x14ac:dyDescent="0.3">
      <c r="A16" s="1" t="s">
        <v>160</v>
      </c>
      <c r="B16" s="4"/>
      <c r="C16" s="4" t="s">
        <v>51</v>
      </c>
      <c r="D16" s="4" t="s">
        <v>53</v>
      </c>
      <c r="E16" s="4" t="s">
        <v>52</v>
      </c>
      <c r="F16" s="1" t="s">
        <v>54</v>
      </c>
    </row>
    <row r="17" spans="1:6" ht="15.75" customHeight="1" x14ac:dyDescent="0.25">
      <c r="A17" s="5" t="s">
        <v>168</v>
      </c>
      <c r="B17" s="5" t="s">
        <v>317</v>
      </c>
      <c r="C17" s="90">
        <f>1-0.94</f>
        <v>6.0000000000000053E-2</v>
      </c>
      <c r="D17" s="90">
        <f>1-0.94</f>
        <v>6.0000000000000053E-2</v>
      </c>
      <c r="E17" s="90">
        <f>E2*0.9</f>
        <v>0</v>
      </c>
      <c r="F17" s="90">
        <f>F2*0.9</f>
        <v>0</v>
      </c>
    </row>
    <row r="18" spans="1:6" ht="15.75" customHeight="1" x14ac:dyDescent="0.25">
      <c r="A18" s="5"/>
      <c r="B18" s="5" t="s">
        <v>318</v>
      </c>
      <c r="C18" s="90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A19" s="5" t="s">
        <v>180</v>
      </c>
      <c r="B19" s="5" t="s">
        <v>317</v>
      </c>
      <c r="C19" s="90">
        <f>1-0.86</f>
        <v>0.14000000000000001</v>
      </c>
      <c r="D19" s="90">
        <f>1-0.86</f>
        <v>0.14000000000000001</v>
      </c>
      <c r="E19" s="90">
        <f>E4*0.9</f>
        <v>0</v>
      </c>
      <c r="F19" s="90">
        <f>F4*0.9</f>
        <v>0</v>
      </c>
    </row>
    <row r="20" spans="1:6" ht="15.75" customHeight="1" x14ac:dyDescent="0.25">
      <c r="A20" s="5"/>
      <c r="B20" s="5" t="s">
        <v>318</v>
      </c>
      <c r="C20" s="90">
        <v>1</v>
      </c>
      <c r="D20" s="90">
        <v>1</v>
      </c>
      <c r="E20" s="90">
        <v>1</v>
      </c>
      <c r="F20" s="90">
        <v>1</v>
      </c>
    </row>
    <row r="21" spans="1:6" ht="15.75" customHeight="1" x14ac:dyDescent="0.25">
      <c r="A21" s="5" t="s">
        <v>181</v>
      </c>
      <c r="B21" s="5" t="s">
        <v>317</v>
      </c>
      <c r="C21" s="90">
        <f>1-0.86</f>
        <v>0.14000000000000001</v>
      </c>
      <c r="D21" s="90">
        <f>1-0.86</f>
        <v>0.14000000000000001</v>
      </c>
      <c r="E21" s="90">
        <f>E6*0.9</f>
        <v>0</v>
      </c>
      <c r="F21" s="90">
        <f>F6*0.9</f>
        <v>0</v>
      </c>
    </row>
    <row r="22" spans="1:6" ht="15.75" customHeight="1" x14ac:dyDescent="0.25">
      <c r="A22" s="5"/>
      <c r="B22" s="5" t="s">
        <v>318</v>
      </c>
      <c r="C22" s="90">
        <v>1</v>
      </c>
      <c r="D22" s="90">
        <v>1</v>
      </c>
      <c r="E22" s="90">
        <v>1</v>
      </c>
      <c r="F22" s="90">
        <v>1</v>
      </c>
    </row>
    <row r="23" spans="1:6" ht="15.75" customHeight="1" x14ac:dyDescent="0.25">
      <c r="A23" s="5" t="s">
        <v>182</v>
      </c>
      <c r="B23" s="5" t="s">
        <v>317</v>
      </c>
      <c r="C23" s="90">
        <f>1-0.77</f>
        <v>0.22999999999999998</v>
      </c>
      <c r="D23" s="90">
        <f>1-0.77</f>
        <v>0.22999999999999998</v>
      </c>
      <c r="E23" s="90">
        <f>E10*0.9</f>
        <v>0</v>
      </c>
      <c r="F23" s="90">
        <f>F10*0.9</f>
        <v>0</v>
      </c>
    </row>
    <row r="24" spans="1:6" ht="15.75" customHeight="1" x14ac:dyDescent="0.25">
      <c r="A24" s="5"/>
      <c r="B24" s="5" t="s">
        <v>318</v>
      </c>
      <c r="C24" s="90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A25" s="5" t="s">
        <v>186</v>
      </c>
      <c r="B25" s="5" t="s">
        <v>317</v>
      </c>
      <c r="C25" s="90">
        <f>1-0.77</f>
        <v>0.22999999999999998</v>
      </c>
      <c r="D25" s="90">
        <f>1-0.77</f>
        <v>0.22999999999999998</v>
      </c>
      <c r="E25" s="90">
        <f>E10*0.9</f>
        <v>0</v>
      </c>
      <c r="F25" s="90">
        <f>F10*0.9</f>
        <v>0</v>
      </c>
    </row>
    <row r="26" spans="1:6" ht="15.75" customHeight="1" x14ac:dyDescent="0.25">
      <c r="A26" s="5"/>
      <c r="B26" s="5" t="s">
        <v>318</v>
      </c>
      <c r="C26" s="90">
        <v>1</v>
      </c>
      <c r="D26" s="90">
        <v>1</v>
      </c>
      <c r="E26" s="90">
        <v>1</v>
      </c>
      <c r="F26" s="90">
        <v>1</v>
      </c>
    </row>
    <row r="27" spans="1:6" ht="15.75" customHeight="1" x14ac:dyDescent="0.25">
      <c r="A27" s="5" t="s">
        <v>190</v>
      </c>
      <c r="B27" s="5" t="s">
        <v>317</v>
      </c>
      <c r="C27" s="90">
        <f>1-0.98*0.86</f>
        <v>0.15720000000000001</v>
      </c>
      <c r="D27" s="90">
        <f>1-0.98*0.86</f>
        <v>0.15720000000000001</v>
      </c>
      <c r="E27" s="90">
        <f>E12*0.9</f>
        <v>0</v>
      </c>
      <c r="F27" s="90">
        <f>F12*0.9</f>
        <v>0</v>
      </c>
    </row>
    <row r="28" spans="1:6" ht="15.75" customHeight="1" x14ac:dyDescent="0.25">
      <c r="A28" s="5"/>
      <c r="B28" s="5" t="s">
        <v>318</v>
      </c>
      <c r="C28" s="90">
        <v>1</v>
      </c>
      <c r="D28" s="90">
        <v>1</v>
      </c>
      <c r="E28" s="90">
        <v>1</v>
      </c>
      <c r="F28" s="90">
        <v>1</v>
      </c>
    </row>
    <row r="30" spans="1:6" s="92" customFormat="1" ht="15.75" customHeight="1" x14ac:dyDescent="0.3">
      <c r="A30" s="92" t="s">
        <v>239</v>
      </c>
    </row>
    <row r="31" spans="1:6" ht="15.75" customHeight="1" x14ac:dyDescent="0.3">
      <c r="A31" s="1" t="s">
        <v>160</v>
      </c>
      <c r="B31" s="4"/>
      <c r="C31" s="4" t="s">
        <v>51</v>
      </c>
      <c r="D31" s="4" t="s">
        <v>53</v>
      </c>
      <c r="E31" s="4" t="s">
        <v>52</v>
      </c>
      <c r="F31" s="1" t="s">
        <v>54</v>
      </c>
    </row>
    <row r="32" spans="1:6" ht="15.75" customHeight="1" x14ac:dyDescent="0.25">
      <c r="A32" s="5" t="s">
        <v>168</v>
      </c>
      <c r="B32" s="5" t="s">
        <v>317</v>
      </c>
      <c r="C32" s="90">
        <f>1-0.54</f>
        <v>0.45999999999999996</v>
      </c>
      <c r="D32" s="90">
        <f>1-0.54</f>
        <v>0.45999999999999996</v>
      </c>
      <c r="E32" s="90">
        <f>E2*1.1</f>
        <v>0</v>
      </c>
      <c r="F32" s="90">
        <f>F2*1.1</f>
        <v>0</v>
      </c>
    </row>
    <row r="33" spans="1:6" ht="15.75" customHeight="1" x14ac:dyDescent="0.25">
      <c r="A33" s="5"/>
      <c r="B33" s="5" t="s">
        <v>318</v>
      </c>
      <c r="C33" s="90">
        <v>1</v>
      </c>
      <c r="D33" s="90">
        <v>1</v>
      </c>
      <c r="E33" s="90">
        <v>1</v>
      </c>
      <c r="F33" s="90">
        <v>1</v>
      </c>
    </row>
    <row r="34" spans="1:6" ht="15.75" customHeight="1" x14ac:dyDescent="0.25">
      <c r="A34" s="5" t="s">
        <v>180</v>
      </c>
      <c r="B34" s="5" t="s">
        <v>317</v>
      </c>
      <c r="C34" s="90">
        <f>1-0.17</f>
        <v>0.83</v>
      </c>
      <c r="D34" s="90">
        <f>1-0.17</f>
        <v>0.83</v>
      </c>
      <c r="E34" s="90">
        <f>E4*1.1</f>
        <v>0</v>
      </c>
      <c r="F34" s="90">
        <f>F4*1.1</f>
        <v>0</v>
      </c>
    </row>
    <row r="35" spans="1:6" ht="15.75" customHeight="1" x14ac:dyDescent="0.25">
      <c r="A35" s="5"/>
      <c r="B35" s="5" t="s">
        <v>318</v>
      </c>
      <c r="C35" s="90">
        <v>1</v>
      </c>
      <c r="D35" s="90">
        <v>1</v>
      </c>
      <c r="E35" s="90">
        <v>1</v>
      </c>
      <c r="F35" s="90">
        <v>1</v>
      </c>
    </row>
    <row r="36" spans="1:6" ht="15.75" customHeight="1" x14ac:dyDescent="0.25">
      <c r="A36" s="5" t="s">
        <v>181</v>
      </c>
      <c r="B36" s="5" t="s">
        <v>317</v>
      </c>
      <c r="C36" s="90">
        <f>1-0.17</f>
        <v>0.83</v>
      </c>
      <c r="D36" s="90">
        <f>1-0.17</f>
        <v>0.83</v>
      </c>
      <c r="E36" s="90">
        <f>E6*1.1</f>
        <v>0</v>
      </c>
      <c r="F36" s="90">
        <f>F6*1.1</f>
        <v>0</v>
      </c>
    </row>
    <row r="37" spans="1:6" ht="15.75" customHeight="1" x14ac:dyDescent="0.25">
      <c r="A37" s="5"/>
      <c r="B37" s="5" t="s">
        <v>318</v>
      </c>
      <c r="C37" s="90">
        <v>1</v>
      </c>
      <c r="D37" s="90">
        <v>1</v>
      </c>
      <c r="E37" s="90">
        <v>1</v>
      </c>
      <c r="F37" s="90">
        <v>1</v>
      </c>
    </row>
    <row r="38" spans="1:6" ht="15.75" customHeight="1" x14ac:dyDescent="0.25">
      <c r="A38" s="5" t="s">
        <v>182</v>
      </c>
      <c r="B38" s="5" t="s">
        <v>317</v>
      </c>
      <c r="C38" s="90">
        <f>1-0.55</f>
        <v>0.44999999999999996</v>
      </c>
      <c r="D38" s="90">
        <f>1-0.55</f>
        <v>0.44999999999999996</v>
      </c>
      <c r="E38" s="90">
        <f>E8*1.1</f>
        <v>0</v>
      </c>
      <c r="F38" s="90">
        <f>F8*1.1</f>
        <v>0</v>
      </c>
    </row>
    <row r="39" spans="1:6" ht="15.75" customHeight="1" x14ac:dyDescent="0.25">
      <c r="A39" s="5"/>
      <c r="B39" s="5" t="s">
        <v>318</v>
      </c>
      <c r="C39" s="90">
        <v>1</v>
      </c>
      <c r="D39" s="90">
        <v>1</v>
      </c>
      <c r="E39" s="90">
        <v>1</v>
      </c>
      <c r="F39" s="90">
        <v>1</v>
      </c>
    </row>
    <row r="40" spans="1:6" ht="15.75" customHeight="1" x14ac:dyDescent="0.25">
      <c r="A40" s="5" t="s">
        <v>186</v>
      </c>
      <c r="B40" s="5" t="s">
        <v>317</v>
      </c>
      <c r="C40" s="90">
        <f>1-0.55</f>
        <v>0.44999999999999996</v>
      </c>
      <c r="D40" s="90">
        <f>1-0.55</f>
        <v>0.44999999999999996</v>
      </c>
      <c r="E40" s="90">
        <f>E10*1.1</f>
        <v>0</v>
      </c>
      <c r="F40" s="90">
        <f>F10*1.1</f>
        <v>0</v>
      </c>
    </row>
    <row r="41" spans="1:6" ht="15.75" customHeight="1" x14ac:dyDescent="0.25">
      <c r="A41" s="5"/>
      <c r="B41" s="5" t="s">
        <v>318</v>
      </c>
      <c r="C41" s="90">
        <v>1</v>
      </c>
      <c r="D41" s="90">
        <v>1</v>
      </c>
      <c r="E41" s="90">
        <v>1</v>
      </c>
      <c r="F41" s="90">
        <v>1</v>
      </c>
    </row>
    <row r="42" spans="1:6" ht="15.75" customHeight="1" x14ac:dyDescent="0.25">
      <c r="A42" s="5" t="s">
        <v>190</v>
      </c>
      <c r="B42" s="5" t="s">
        <v>317</v>
      </c>
      <c r="C42" s="90">
        <f>1-0.88*0.17</f>
        <v>0.85040000000000004</v>
      </c>
      <c r="D42" s="90">
        <f>1-0.88*0.17</f>
        <v>0.85040000000000004</v>
      </c>
      <c r="E42" s="90">
        <f>E12*1.1</f>
        <v>0</v>
      </c>
      <c r="F42" s="90">
        <f>F12*1.1</f>
        <v>0</v>
      </c>
    </row>
    <row r="43" spans="1:6" ht="15.75" customHeight="1" x14ac:dyDescent="0.25">
      <c r="A43" s="5"/>
      <c r="B43" s="5" t="s">
        <v>318</v>
      </c>
      <c r="C43" s="90">
        <v>1</v>
      </c>
      <c r="D43" s="90">
        <v>1</v>
      </c>
      <c r="E43" s="90">
        <v>1</v>
      </c>
      <c r="F43" s="90">
        <v>1</v>
      </c>
    </row>
  </sheetData>
  <sheetProtection algorithmName="SHA-512" hashValue="ZgKV++79dlljQ1jhclA4Hma5y1HABv6fFwH5MdBvPrqSxbSlXkNl3giKQNnhpK7uGT7+5sD4reId10uK6xH85w==" saltValue="4I3CPzgrkZJx6YH8LDr8xA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8" zoomScale="70" zoomScaleNormal="70" workbookViewId="0">
      <selection activeCell="E28" sqref="E28"/>
    </sheetView>
  </sheetViews>
  <sheetFormatPr defaultColWidth="12.81640625" defaultRowHeight="12.5" x14ac:dyDescent="0.25"/>
  <cols>
    <col min="1" max="1" width="22.54296875" style="8" customWidth="1"/>
    <col min="2" max="2" width="58.90625" style="8" bestFit="1" customWidth="1"/>
    <col min="3" max="15" width="15" style="8" customWidth="1"/>
    <col min="16" max="16" width="12.81640625" style="8" customWidth="1"/>
    <col min="17" max="16384" width="12.81640625" style="8"/>
  </cols>
  <sheetData>
    <row r="1" spans="1:15" ht="35.25" customHeight="1" x14ac:dyDescent="0.3">
      <c r="A1" s="4"/>
      <c r="B1" s="4"/>
      <c r="C1" s="70" t="s">
        <v>109</v>
      </c>
      <c r="D1" s="70" t="s">
        <v>96</v>
      </c>
      <c r="E1" s="70" t="s">
        <v>97</v>
      </c>
      <c r="F1" s="70" t="s">
        <v>98</v>
      </c>
      <c r="G1" s="70" t="s">
        <v>99</v>
      </c>
      <c r="H1" s="70" t="s">
        <v>69</v>
      </c>
      <c r="I1" s="70" t="s">
        <v>70</v>
      </c>
      <c r="J1" s="70" t="s">
        <v>71</v>
      </c>
      <c r="K1" s="70" t="s">
        <v>72</v>
      </c>
      <c r="L1" s="70" t="s">
        <v>122</v>
      </c>
      <c r="M1" s="70" t="s">
        <v>123</v>
      </c>
      <c r="N1" s="70" t="s">
        <v>124</v>
      </c>
      <c r="O1" s="70" t="s">
        <v>125</v>
      </c>
    </row>
    <row r="2" spans="1:15" ht="13" customHeight="1" x14ac:dyDescent="0.3">
      <c r="A2" s="4" t="s">
        <v>319</v>
      </c>
    </row>
    <row r="3" spans="1:15" x14ac:dyDescent="0.25">
      <c r="B3" s="11" t="s">
        <v>171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5">
      <c r="B4" s="11" t="s">
        <v>176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5">
      <c r="B5" s="11" t="s">
        <v>177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5">
      <c r="B6" s="11" t="s">
        <v>178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5">
      <c r="B7" s="11" t="s">
        <v>179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5">
      <c r="B8" s="5" t="s">
        <v>180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0.51</v>
      </c>
      <c r="M8" s="90">
        <v>0.51</v>
      </c>
      <c r="N8" s="90">
        <v>0.51</v>
      </c>
      <c r="O8" s="90">
        <v>0.51</v>
      </c>
    </row>
    <row r="9" spans="1:15" x14ac:dyDescent="0.25">
      <c r="B9" s="5" t="s">
        <v>181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0.51</v>
      </c>
      <c r="M9" s="90">
        <v>0.51</v>
      </c>
      <c r="N9" s="90">
        <v>0.51</v>
      </c>
      <c r="O9" s="90">
        <v>0.51</v>
      </c>
    </row>
    <row r="10" spans="1:15" x14ac:dyDescent="0.25">
      <c r="B10" s="11" t="s">
        <v>182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5">
      <c r="B11" s="5" t="s">
        <v>185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5">
      <c r="B12" s="11" t="s">
        <v>186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" customHeight="1" x14ac:dyDescent="0.25">
      <c r="B13" s="11" t="s">
        <v>189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5">
      <c r="B14" s="11" t="s">
        <v>190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0.51</v>
      </c>
      <c r="M14" s="90">
        <v>0.51</v>
      </c>
      <c r="N14" s="90">
        <v>0.51</v>
      </c>
      <c r="O14" s="90">
        <v>0.51</v>
      </c>
    </row>
    <row r="15" spans="1:15" x14ac:dyDescent="0.25">
      <c r="B15" s="5" t="s">
        <v>205</v>
      </c>
      <c r="C15" s="90">
        <v>1</v>
      </c>
      <c r="D15" s="90">
        <v>1</v>
      </c>
      <c r="E15" s="90">
        <v>0.36</v>
      </c>
      <c r="F15" s="90">
        <v>0.36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1</v>
      </c>
      <c r="M15" s="90">
        <v>1</v>
      </c>
      <c r="N15" s="90">
        <v>1</v>
      </c>
      <c r="O15" s="90">
        <v>1</v>
      </c>
    </row>
    <row r="17" spans="1:15" ht="13" customHeight="1" x14ac:dyDescent="0.3">
      <c r="A17" s="4" t="s">
        <v>320</v>
      </c>
      <c r="B17" s="11"/>
    </row>
    <row r="18" spans="1:15" x14ac:dyDescent="0.25">
      <c r="B18" s="5" t="s">
        <v>173</v>
      </c>
      <c r="C18" s="90">
        <v>1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90">
        <v>1</v>
      </c>
      <c r="J18" s="90">
        <v>1</v>
      </c>
      <c r="K18" s="90">
        <v>1</v>
      </c>
      <c r="L18" s="90">
        <v>1</v>
      </c>
      <c r="M18" s="90">
        <v>1</v>
      </c>
      <c r="N18" s="90">
        <v>1</v>
      </c>
      <c r="O18" s="90">
        <v>1</v>
      </c>
    </row>
    <row r="19" spans="1:15" x14ac:dyDescent="0.25">
      <c r="B19" s="5" t="s">
        <v>174</v>
      </c>
      <c r="C19" s="90">
        <v>1</v>
      </c>
      <c r="D19" s="90">
        <v>1</v>
      </c>
      <c r="E19" s="90">
        <f>IF(ISBLANK('Dist. de l''état nutritionnel'!E$14),0.72,(0.72*'Dist. de l''état nutritionnel'!E$14/(1-0.72*'Dist. de l''état nutritionnel'!E$14))
/ ('Dist. de l''état nutritionnel'!E$14/(1-'Dist. de l''état nutritionnel'!E$14)))</f>
        <v>0.57152251783423769</v>
      </c>
      <c r="F19" s="90">
        <f>IF(ISBLANK('Dist. de l''état nutritionnel'!F$14),0.72,(0.72*'Dist. de l''état nutritionnel'!F$14/(1-0.72*'Dist. de l''état nutritionnel'!F$14))
/ ('Dist. de l''état nutritionnel'!F$14/(1-'Dist. de l''état nutritionnel'!F$14)))</f>
        <v>0.5415691065384306</v>
      </c>
      <c r="G19" s="90">
        <f>IF(ISBLANK('Dist. de l''état nutritionnel'!G$14),0.72,(0.72*'Dist. de l''état nutritionnel'!G$14/(1-0.72*'Dist. de l''état nutritionnel'!G$14))
/ ('Dist. de l''état nutritionnel'!G$14/(1-'Dist. de l''état nutritionnel'!G$14)))</f>
        <v>0.5415691065384306</v>
      </c>
      <c r="H19" s="90">
        <f>IF(ISBLANK('Dist. de l''état nutritionnel'!H$14),0.72,(0.72*'Dist. de l''état nutritionnel'!H$14/(1-0.72*'Dist. de l''état nutritionnel'!H$14))
/ ('Dist. de l''état nutritionnel'!H$14/(1-'Dist. de l''état nutritionnel'!H$14)))</f>
        <v>0.55191396748175647</v>
      </c>
      <c r="I19" s="90">
        <f>IF(ISBLANK('Dist. de l''état nutritionnel'!I$14),0.72,(0.72*'Dist. de l''état nutritionnel'!I$14/(1-0.72*'Dist. de l''état nutritionnel'!I$14))
/ ('Dist. de l''état nutritionnel'!I$14/(1-'Dist. de l''état nutritionnel'!I$14)))</f>
        <v>0.55191396748175647</v>
      </c>
      <c r="J19" s="90">
        <f>IF(ISBLANK('Dist. de l''état nutritionnel'!J$14),0.72,(0.72*'Dist. de l''état nutritionnel'!J$14/(1-0.72*'Dist. de l''état nutritionnel'!J$14))
/ ('Dist. de l''état nutritionnel'!J$14/(1-'Dist. de l''état nutritionnel'!J$14)))</f>
        <v>0.55191396748175647</v>
      </c>
      <c r="K19" s="90">
        <f>IF(ISBLANK('Dist. de l''état nutritionnel'!K$14),0.72,(0.72*'Dist. de l''état nutritionnel'!K$14/(1-0.72*'Dist. de l''état nutritionnel'!K$14))
/ ('Dist. de l''état nutritionnel'!K$14/(1-'Dist. de l''état nutritionnel'!K$14)))</f>
        <v>0.55191396748175647</v>
      </c>
      <c r="L19" s="90">
        <f>IF(ISBLANK('Dist. de l''état nutritionnel'!L$14),0.72,(0.72*'Dist. de l''état nutritionnel'!L$14/(1-0.72*'Dist. de l''état nutritionnel'!L$14))
/ ('Dist. de l''état nutritionnel'!L$14/(1-'Dist. de l''état nutritionnel'!L$14)))</f>
        <v>0.5952821461609622</v>
      </c>
      <c r="M19" s="90">
        <f>IF(ISBLANK('Dist. de l''état nutritionnel'!M$14),0.72,(0.72*'Dist. de l''état nutritionnel'!M$14/(1-0.72*'Dist. de l''état nutritionnel'!M$14))
/ ('Dist. de l''état nutritionnel'!M$14/(1-'Dist. de l''état nutritionnel'!M$14)))</f>
        <v>0.5952821461609622</v>
      </c>
      <c r="N19" s="90">
        <f>IF(ISBLANK('Dist. de l''état nutritionnel'!N$14),0.72,(0.72*'Dist. de l''état nutritionnel'!N$14/(1-0.72*'Dist. de l''état nutritionnel'!N$14))
/ ('Dist. de l''état nutritionnel'!N$14/(1-'Dist. de l''état nutritionnel'!N$14)))</f>
        <v>0.5952821461609622</v>
      </c>
      <c r="O19" s="90">
        <f>IF(ISBLANK('Dist. de l''état nutritionnel'!O$14),0.72,(0.72*'Dist. de l''état nutritionnel'!O$14/(1-0.72*'Dist. de l''état nutritionnel'!O$14))
/ ('Dist. de l''état nutritionnel'!O$14/(1-'Dist. de l''état nutritionnel'!O$14)))</f>
        <v>0.5952821461609622</v>
      </c>
    </row>
    <row r="20" spans="1:15" x14ac:dyDescent="0.25">
      <c r="B20" s="5" t="s">
        <v>175</v>
      </c>
      <c r="C20" s="90">
        <v>1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90">
        <v>1</v>
      </c>
      <c r="J20" s="90">
        <v>1</v>
      </c>
      <c r="K20" s="90">
        <v>1</v>
      </c>
      <c r="L20" s="90">
        <v>1</v>
      </c>
      <c r="M20" s="90">
        <v>1</v>
      </c>
      <c r="N20" s="90">
        <v>1</v>
      </c>
      <c r="O20" s="90">
        <v>1</v>
      </c>
    </row>
    <row r="21" spans="1:15" x14ac:dyDescent="0.25">
      <c r="B21" s="5" t="s">
        <v>183</v>
      </c>
      <c r="C21" s="90">
        <v>1</v>
      </c>
      <c r="D21" s="90">
        <v>1</v>
      </c>
      <c r="E21" s="90">
        <f>IF(ISBLANK('Dist. de l''état nutritionnel'!E$14),0.8,(0.8*'Dist. de l''état nutritionnel'!E$14/(1-0.8*'Dist. de l''état nutritionnel'!E$14))
/ ('Dist. de l''état nutritionnel'!E$14/(1-'Dist. de l''état nutritionnel'!E$14)))</f>
        <v>0.6747829876805409</v>
      </c>
      <c r="F21" s="90">
        <f>IF(ISBLANK('Dist. de l''état nutritionnel'!F$14),0.8,(0.8*'Dist. de l''état nutritionnel'!F$14/(1-0.8*'Dist. de l''état nutritionnel'!F$14))
/ ('Dist. de l''état nutritionnel'!F$14/(1-'Dist. de l''état nutritionnel'!F$14)))</f>
        <v>0.64759715785168859</v>
      </c>
      <c r="G21" s="90">
        <f>IF(ISBLANK('Dist. de l''état nutritionnel'!G$14),0.8,(0.8*'Dist. de l''état nutritionnel'!G$14/(1-0.8*'Dist. de l''état nutritionnel'!G$14))
/ ('Dist. de l''état nutritionnel'!G$14/(1-'Dist. de l''état nutritionnel'!G$14)))</f>
        <v>0.64759715785168859</v>
      </c>
      <c r="H21" s="90">
        <f>IF(ISBLANK('Dist. de l''état nutritionnel'!H$14),0.8,(0.8*'Dist. de l''état nutritionnel'!H$14/(1-0.8*'Dist. de l''état nutritionnel'!H$14))
/ ('Dist. de l''état nutritionnel'!H$14/(1-'Dist. de l''état nutritionnel'!H$14)))</f>
        <v>0.65706447187928674</v>
      </c>
      <c r="I21" s="90">
        <f>IF(ISBLANK('Dist. de l''état nutritionnel'!I$14),0.8,(0.8*'Dist. de l''état nutritionnel'!I$14/(1-0.8*'Dist. de l''état nutritionnel'!I$14))
/ ('Dist. de l''état nutritionnel'!I$14/(1-'Dist. de l''état nutritionnel'!I$14)))</f>
        <v>0.65706447187928674</v>
      </c>
      <c r="J21" s="90">
        <f>IF(ISBLANK('Dist. de l''état nutritionnel'!J$14),0.8,(0.8*'Dist. de l''état nutritionnel'!J$14/(1-0.8*'Dist. de l''état nutritionnel'!J$14))
/ ('Dist. de l''état nutritionnel'!J$14/(1-'Dist. de l''état nutritionnel'!J$14)))</f>
        <v>0.65706447187928674</v>
      </c>
      <c r="K21" s="90">
        <f>IF(ISBLANK('Dist. de l''état nutritionnel'!K$14),0.8,(0.8*'Dist. de l''état nutritionnel'!K$14/(1-0.8*'Dist. de l''état nutritionnel'!K$14))
/ ('Dist. de l''état nutritionnel'!K$14/(1-'Dist. de l''état nutritionnel'!K$14)))</f>
        <v>0.65706447187928674</v>
      </c>
      <c r="L21" s="90">
        <f>IF(ISBLANK('Dist. de l''état nutritionnel'!L$14),0.8,(0.8*'Dist. de l''état nutritionnel'!L$14/(1-0.8*'Dist. de l''état nutritionnel'!L$14))
/ ('Dist. de l''état nutritionnel'!L$14/(1-'Dist. de l''état nutritionnel'!L$14)))</f>
        <v>0.69586374695863773</v>
      </c>
      <c r="M21" s="90">
        <f>IF(ISBLANK('Dist. de l''état nutritionnel'!M$14),0.8,(0.8*'Dist. de l''état nutritionnel'!M$14/(1-0.8*'Dist. de l''état nutritionnel'!M$14))
/ ('Dist. de l''état nutritionnel'!M$14/(1-'Dist. de l''état nutritionnel'!M$14)))</f>
        <v>0.69586374695863773</v>
      </c>
      <c r="N21" s="90">
        <f>IF(ISBLANK('Dist. de l''état nutritionnel'!N$14),0.8,(0.8*'Dist. de l''état nutritionnel'!N$14/(1-0.8*'Dist. de l''état nutritionnel'!N$14))
/ ('Dist. de l''état nutritionnel'!N$14/(1-'Dist. de l''état nutritionnel'!N$14)))</f>
        <v>0.69586374695863773</v>
      </c>
      <c r="O21" s="90">
        <f>IF(ISBLANK('Dist. de l''état nutritionnel'!O$14),0.8,(0.8*'Dist. de l''état nutritionnel'!O$14/(1-0.8*'Dist. de l''état nutritionnel'!O$14))
/ ('Dist. de l''état nutritionnel'!O$14/(1-'Dist. de l''état nutritionnel'!O$14)))</f>
        <v>0.69586374695863773</v>
      </c>
    </row>
    <row r="23" spans="1:15" s="92" customFormat="1" ht="13" customHeight="1" x14ac:dyDescent="0.3">
      <c r="A23" s="92" t="s">
        <v>235</v>
      </c>
    </row>
    <row r="24" spans="1:15" ht="26" customHeight="1" x14ac:dyDescent="0.3">
      <c r="A24" s="4"/>
      <c r="B24" s="4"/>
      <c r="C24" s="70" t="s">
        <v>109</v>
      </c>
      <c r="D24" s="70" t="s">
        <v>96</v>
      </c>
      <c r="E24" s="70" t="s">
        <v>97</v>
      </c>
      <c r="F24" s="70" t="s">
        <v>98</v>
      </c>
      <c r="G24" s="70" t="s">
        <v>99</v>
      </c>
      <c r="H24" s="70" t="s">
        <v>69</v>
      </c>
      <c r="I24" s="70" t="s">
        <v>70</v>
      </c>
      <c r="J24" s="70" t="s">
        <v>71</v>
      </c>
      <c r="K24" s="70" t="s">
        <v>72</v>
      </c>
      <c r="L24" s="70" t="s">
        <v>122</v>
      </c>
      <c r="M24" s="70" t="s">
        <v>123</v>
      </c>
      <c r="N24" s="70" t="s">
        <v>124</v>
      </c>
      <c r="O24" s="70" t="s">
        <v>125</v>
      </c>
    </row>
    <row r="25" spans="1:15" ht="13" customHeight="1" x14ac:dyDescent="0.3">
      <c r="A25" s="4" t="s">
        <v>321</v>
      </c>
    </row>
    <row r="26" spans="1:15" x14ac:dyDescent="0.25">
      <c r="B26" s="11" t="s">
        <v>171</v>
      </c>
      <c r="C26" s="90">
        <v>0.4</v>
      </c>
      <c r="D26" s="90">
        <v>0.4</v>
      </c>
      <c r="E26" s="90">
        <f t="shared" ref="E26:O26" si="0">IF(E3=1,1,E3*0.9)</f>
        <v>1</v>
      </c>
      <c r="F26" s="90">
        <f t="shared" si="0"/>
        <v>1</v>
      </c>
      <c r="G26" s="90">
        <f t="shared" si="0"/>
        <v>1</v>
      </c>
      <c r="H26" s="90">
        <f t="shared" si="0"/>
        <v>1</v>
      </c>
      <c r="I26" s="90">
        <f t="shared" si="0"/>
        <v>1</v>
      </c>
      <c r="J26" s="90">
        <f t="shared" si="0"/>
        <v>1</v>
      </c>
      <c r="K26" s="90">
        <f t="shared" si="0"/>
        <v>1</v>
      </c>
      <c r="L26" s="90">
        <f t="shared" si="0"/>
        <v>1</v>
      </c>
      <c r="M26" s="90">
        <f t="shared" si="0"/>
        <v>1</v>
      </c>
      <c r="N26" s="90">
        <f t="shared" si="0"/>
        <v>1</v>
      </c>
      <c r="O26" s="90">
        <f t="shared" si="0"/>
        <v>1</v>
      </c>
    </row>
    <row r="27" spans="1:15" x14ac:dyDescent="0.25">
      <c r="B27" s="11" t="s">
        <v>176</v>
      </c>
      <c r="C27" s="90">
        <f t="shared" ref="C27:G33" si="1">IF(C4=1,1,C4*0.9)</f>
        <v>1</v>
      </c>
      <c r="D27" s="90">
        <f t="shared" si="1"/>
        <v>1</v>
      </c>
      <c r="E27" s="90">
        <f t="shared" si="1"/>
        <v>1</v>
      </c>
      <c r="F27" s="90">
        <f t="shared" si="1"/>
        <v>1</v>
      </c>
      <c r="G27" s="90">
        <f t="shared" si="1"/>
        <v>1</v>
      </c>
      <c r="H27" s="90">
        <v>0.56000000000000005</v>
      </c>
      <c r="I27" s="90">
        <v>0.56000000000000005</v>
      </c>
      <c r="J27" s="90">
        <v>0.56000000000000005</v>
      </c>
      <c r="K27" s="90">
        <v>0.56000000000000005</v>
      </c>
      <c r="L27" s="90">
        <f t="shared" ref="L27:O30" si="2">IF(L4=1,1,L4*0.9)</f>
        <v>1</v>
      </c>
      <c r="M27" s="90">
        <f t="shared" si="2"/>
        <v>1</v>
      </c>
      <c r="N27" s="90">
        <f t="shared" si="2"/>
        <v>1</v>
      </c>
      <c r="O27" s="90">
        <f t="shared" si="2"/>
        <v>1</v>
      </c>
    </row>
    <row r="28" spans="1:15" x14ac:dyDescent="0.25">
      <c r="B28" s="11" t="s">
        <v>177</v>
      </c>
      <c r="C28" s="90">
        <f t="shared" si="1"/>
        <v>1</v>
      </c>
      <c r="D28" s="90">
        <f t="shared" si="1"/>
        <v>1</v>
      </c>
      <c r="E28" s="90">
        <f t="shared" si="1"/>
        <v>1</v>
      </c>
      <c r="F28" s="90">
        <f t="shared" si="1"/>
        <v>1</v>
      </c>
      <c r="G28" s="90">
        <f t="shared" si="1"/>
        <v>1</v>
      </c>
      <c r="H28" s="90">
        <v>0.56000000000000005</v>
      </c>
      <c r="I28" s="90">
        <v>0.56000000000000005</v>
      </c>
      <c r="J28" s="90">
        <v>0.56000000000000005</v>
      </c>
      <c r="K28" s="90">
        <v>0.56000000000000005</v>
      </c>
      <c r="L28" s="90">
        <f t="shared" si="2"/>
        <v>1</v>
      </c>
      <c r="M28" s="90">
        <f t="shared" si="2"/>
        <v>1</v>
      </c>
      <c r="N28" s="90">
        <f t="shared" si="2"/>
        <v>1</v>
      </c>
      <c r="O28" s="90">
        <f t="shared" si="2"/>
        <v>1</v>
      </c>
    </row>
    <row r="29" spans="1:15" x14ac:dyDescent="0.25">
      <c r="B29" s="11" t="s">
        <v>178</v>
      </c>
      <c r="C29" s="90">
        <f t="shared" si="1"/>
        <v>1</v>
      </c>
      <c r="D29" s="90">
        <f t="shared" si="1"/>
        <v>1</v>
      </c>
      <c r="E29" s="90">
        <f t="shared" si="1"/>
        <v>1</v>
      </c>
      <c r="F29" s="90">
        <f t="shared" si="1"/>
        <v>1</v>
      </c>
      <c r="G29" s="90">
        <f t="shared" si="1"/>
        <v>1</v>
      </c>
      <c r="H29" s="90">
        <v>0.56000000000000005</v>
      </c>
      <c r="I29" s="90">
        <v>0.56000000000000005</v>
      </c>
      <c r="J29" s="90">
        <v>0.56000000000000005</v>
      </c>
      <c r="K29" s="90">
        <v>0.56000000000000005</v>
      </c>
      <c r="L29" s="90">
        <f t="shared" si="2"/>
        <v>1</v>
      </c>
      <c r="M29" s="90">
        <f t="shared" si="2"/>
        <v>1</v>
      </c>
      <c r="N29" s="90">
        <f t="shared" si="2"/>
        <v>1</v>
      </c>
      <c r="O29" s="90">
        <f t="shared" si="2"/>
        <v>1</v>
      </c>
    </row>
    <row r="30" spans="1:15" x14ac:dyDescent="0.25">
      <c r="B30" s="11" t="s">
        <v>179</v>
      </c>
      <c r="C30" s="90">
        <f t="shared" si="1"/>
        <v>1</v>
      </c>
      <c r="D30" s="90">
        <f t="shared" si="1"/>
        <v>1</v>
      </c>
      <c r="E30" s="90">
        <f t="shared" si="1"/>
        <v>1</v>
      </c>
      <c r="F30" s="90">
        <f t="shared" si="1"/>
        <v>1</v>
      </c>
      <c r="G30" s="90">
        <f t="shared" si="1"/>
        <v>1</v>
      </c>
      <c r="H30" s="90">
        <v>0.56000000000000005</v>
      </c>
      <c r="I30" s="90">
        <v>0.56000000000000005</v>
      </c>
      <c r="J30" s="90">
        <v>0.56000000000000005</v>
      </c>
      <c r="K30" s="90">
        <v>0.56000000000000005</v>
      </c>
      <c r="L30" s="90">
        <f t="shared" si="2"/>
        <v>1</v>
      </c>
      <c r="M30" s="90">
        <f t="shared" si="2"/>
        <v>1</v>
      </c>
      <c r="N30" s="90">
        <f t="shared" si="2"/>
        <v>1</v>
      </c>
      <c r="O30" s="90">
        <f t="shared" si="2"/>
        <v>1</v>
      </c>
    </row>
    <row r="31" spans="1:15" x14ac:dyDescent="0.25">
      <c r="B31" s="5" t="s">
        <v>180</v>
      </c>
      <c r="C31" s="90">
        <f t="shared" si="1"/>
        <v>1</v>
      </c>
      <c r="D31" s="90">
        <f t="shared" si="1"/>
        <v>1</v>
      </c>
      <c r="E31" s="90">
        <f t="shared" si="1"/>
        <v>1</v>
      </c>
      <c r="F31" s="90">
        <f t="shared" si="1"/>
        <v>1</v>
      </c>
      <c r="G31" s="90">
        <f t="shared" si="1"/>
        <v>1</v>
      </c>
      <c r="H31" s="90">
        <f t="shared" ref="H31:K34" si="3">IF(H8=1,1,H8*0.9)</f>
        <v>1</v>
      </c>
      <c r="I31" s="90">
        <f t="shared" si="3"/>
        <v>1</v>
      </c>
      <c r="J31" s="90">
        <f t="shared" si="3"/>
        <v>1</v>
      </c>
      <c r="K31" s="90">
        <f t="shared" si="3"/>
        <v>1</v>
      </c>
      <c r="L31" s="90">
        <v>0.38</v>
      </c>
      <c r="M31" s="90">
        <v>0.38</v>
      </c>
      <c r="N31" s="90">
        <v>0.38</v>
      </c>
      <c r="O31" s="90">
        <v>0.38</v>
      </c>
    </row>
    <row r="32" spans="1:15" x14ac:dyDescent="0.25">
      <c r="B32" s="5" t="s">
        <v>181</v>
      </c>
      <c r="C32" s="90">
        <f t="shared" si="1"/>
        <v>1</v>
      </c>
      <c r="D32" s="90">
        <f t="shared" si="1"/>
        <v>1</v>
      </c>
      <c r="E32" s="90">
        <f t="shared" si="1"/>
        <v>1</v>
      </c>
      <c r="F32" s="90">
        <f t="shared" si="1"/>
        <v>1</v>
      </c>
      <c r="G32" s="90">
        <f t="shared" si="1"/>
        <v>1</v>
      </c>
      <c r="H32" s="90">
        <f t="shared" si="3"/>
        <v>1</v>
      </c>
      <c r="I32" s="90">
        <f t="shared" si="3"/>
        <v>1</v>
      </c>
      <c r="J32" s="90">
        <f t="shared" si="3"/>
        <v>1</v>
      </c>
      <c r="K32" s="90">
        <f t="shared" si="3"/>
        <v>1</v>
      </c>
      <c r="L32" s="90">
        <v>0.38</v>
      </c>
      <c r="M32" s="90">
        <v>0.38</v>
      </c>
      <c r="N32" s="90">
        <v>0.38</v>
      </c>
      <c r="O32" s="90">
        <v>0.38</v>
      </c>
    </row>
    <row r="33" spans="1:15" x14ac:dyDescent="0.25">
      <c r="B33" s="11" t="s">
        <v>182</v>
      </c>
      <c r="C33" s="90">
        <f t="shared" si="1"/>
        <v>1</v>
      </c>
      <c r="D33" s="90">
        <f t="shared" si="1"/>
        <v>1</v>
      </c>
      <c r="E33" s="90">
        <f t="shared" si="1"/>
        <v>1</v>
      </c>
      <c r="F33" s="90">
        <f t="shared" si="1"/>
        <v>1</v>
      </c>
      <c r="G33" s="90">
        <f t="shared" si="1"/>
        <v>1</v>
      </c>
      <c r="H33" s="90">
        <f t="shared" si="3"/>
        <v>1</v>
      </c>
      <c r="I33" s="90">
        <f t="shared" si="3"/>
        <v>1</v>
      </c>
      <c r="J33" s="90">
        <f t="shared" si="3"/>
        <v>1</v>
      </c>
      <c r="K33" s="90">
        <f t="shared" si="3"/>
        <v>1</v>
      </c>
      <c r="L33" s="90">
        <v>0.74</v>
      </c>
      <c r="M33" s="90">
        <v>0.74</v>
      </c>
      <c r="N33" s="90">
        <v>0.74</v>
      </c>
      <c r="O33" s="90">
        <v>0.74</v>
      </c>
    </row>
    <row r="34" spans="1:15" x14ac:dyDescent="0.25">
      <c r="B34" s="5" t="s">
        <v>185</v>
      </c>
      <c r="C34" s="90">
        <f>IF(C11=1,1,C11*0.9)</f>
        <v>1</v>
      </c>
      <c r="D34" s="90">
        <f>IF(D11=1,1,D11*0.9)</f>
        <v>1</v>
      </c>
      <c r="E34" s="90">
        <v>0.62</v>
      </c>
      <c r="F34" s="90">
        <v>0.62</v>
      </c>
      <c r="G34" s="90">
        <v>1</v>
      </c>
      <c r="H34" s="90">
        <f t="shared" si="3"/>
        <v>1</v>
      </c>
      <c r="I34" s="90">
        <f t="shared" si="3"/>
        <v>1</v>
      </c>
      <c r="J34" s="90">
        <f t="shared" si="3"/>
        <v>1</v>
      </c>
      <c r="K34" s="90">
        <f t="shared" si="3"/>
        <v>1</v>
      </c>
      <c r="L34" s="90">
        <f>IF(L11=1,1,L11*0.9)</f>
        <v>1</v>
      </c>
      <c r="M34" s="90">
        <f>IF(M11=1,1,M11*0.9)</f>
        <v>1</v>
      </c>
      <c r="N34" s="90">
        <f>IF(N11=1,1,N11*0.9)</f>
        <v>1</v>
      </c>
      <c r="O34" s="90">
        <f>IF(O11=1,1,O11*0.9)</f>
        <v>1</v>
      </c>
    </row>
    <row r="35" spans="1:15" x14ac:dyDescent="0.25">
      <c r="B35" s="11" t="s">
        <v>186</v>
      </c>
      <c r="C35" s="90">
        <v>0.74</v>
      </c>
      <c r="D35" s="90">
        <v>0.74</v>
      </c>
      <c r="E35" s="90">
        <v>0.74</v>
      </c>
      <c r="F35" s="90">
        <v>0.74</v>
      </c>
      <c r="G35" s="90">
        <v>0.74</v>
      </c>
      <c r="H35" s="90">
        <v>0.74</v>
      </c>
      <c r="I35" s="90">
        <v>0.74</v>
      </c>
      <c r="J35" s="90">
        <v>0.74</v>
      </c>
      <c r="K35" s="90">
        <v>0.74</v>
      </c>
      <c r="L35" s="90">
        <v>0.74</v>
      </c>
      <c r="M35" s="90">
        <v>0.74</v>
      </c>
      <c r="N35" s="90">
        <v>0.74</v>
      </c>
      <c r="O35" s="90">
        <v>0.74</v>
      </c>
    </row>
    <row r="36" spans="1:15" x14ac:dyDescent="0.25">
      <c r="B36" s="11" t="s">
        <v>189</v>
      </c>
      <c r="C36" s="90">
        <f t="shared" ref="C36:D38" si="4">IF(C13=1,1,C13*0.9)</f>
        <v>1</v>
      </c>
      <c r="D36" s="90">
        <f t="shared" si="4"/>
        <v>1</v>
      </c>
      <c r="E36" s="90">
        <v>0.62</v>
      </c>
      <c r="F36" s="90">
        <v>0.62</v>
      </c>
      <c r="G36" s="90">
        <v>0.62</v>
      </c>
      <c r="H36" s="90">
        <f t="shared" ref="H36:O36" si="5">IF(H13=1,1,H13*0.9)</f>
        <v>1</v>
      </c>
      <c r="I36" s="90">
        <f t="shared" si="5"/>
        <v>1</v>
      </c>
      <c r="J36" s="90">
        <f t="shared" si="5"/>
        <v>1</v>
      </c>
      <c r="K36" s="90">
        <f t="shared" si="5"/>
        <v>1</v>
      </c>
      <c r="L36" s="90">
        <f t="shared" si="5"/>
        <v>1</v>
      </c>
      <c r="M36" s="90">
        <f t="shared" si="5"/>
        <v>1</v>
      </c>
      <c r="N36" s="90">
        <f t="shared" si="5"/>
        <v>1</v>
      </c>
      <c r="O36" s="90">
        <f t="shared" si="5"/>
        <v>1</v>
      </c>
    </row>
    <row r="37" spans="1:15" x14ac:dyDescent="0.25">
      <c r="B37" s="11" t="s">
        <v>190</v>
      </c>
      <c r="C37" s="90">
        <f t="shared" si="4"/>
        <v>1</v>
      </c>
      <c r="D37" s="90">
        <f t="shared" si="4"/>
        <v>1</v>
      </c>
      <c r="E37" s="90">
        <f t="shared" ref="E37:K37" si="6">IF(E14=1,1,E14*0.9)</f>
        <v>1</v>
      </c>
      <c r="F37" s="90">
        <f t="shared" si="6"/>
        <v>1</v>
      </c>
      <c r="G37" s="90">
        <f t="shared" si="6"/>
        <v>1</v>
      </c>
      <c r="H37" s="90">
        <f t="shared" si="6"/>
        <v>1</v>
      </c>
      <c r="I37" s="90">
        <f t="shared" si="6"/>
        <v>1</v>
      </c>
      <c r="J37" s="90">
        <f t="shared" si="6"/>
        <v>1</v>
      </c>
      <c r="K37" s="90">
        <f t="shared" si="6"/>
        <v>1</v>
      </c>
      <c r="L37" s="90">
        <f>L32</f>
        <v>0.38</v>
      </c>
      <c r="M37" s="90">
        <f>M32</f>
        <v>0.38</v>
      </c>
      <c r="N37" s="90">
        <f>N32</f>
        <v>0.38</v>
      </c>
      <c r="O37" s="90">
        <f>O32</f>
        <v>0.38</v>
      </c>
    </row>
    <row r="38" spans="1:15" x14ac:dyDescent="0.25">
      <c r="B38" s="5" t="s">
        <v>205</v>
      </c>
      <c r="C38" s="90">
        <f t="shared" si="4"/>
        <v>1</v>
      </c>
      <c r="D38" s="90">
        <f t="shared" si="4"/>
        <v>1</v>
      </c>
      <c r="E38" s="90">
        <v>0.3</v>
      </c>
      <c r="F38" s="90">
        <v>0.3</v>
      </c>
      <c r="G38" s="90">
        <f t="shared" ref="G38:O38" si="7">IF(G15=1,1,G15*0.9)</f>
        <v>1</v>
      </c>
      <c r="H38" s="90">
        <f t="shared" si="7"/>
        <v>1</v>
      </c>
      <c r="I38" s="90">
        <f t="shared" si="7"/>
        <v>1</v>
      </c>
      <c r="J38" s="90">
        <f t="shared" si="7"/>
        <v>1</v>
      </c>
      <c r="K38" s="90">
        <f t="shared" si="7"/>
        <v>1</v>
      </c>
      <c r="L38" s="90">
        <f t="shared" si="7"/>
        <v>1</v>
      </c>
      <c r="M38" s="90">
        <f t="shared" si="7"/>
        <v>1</v>
      </c>
      <c r="N38" s="90">
        <f t="shared" si="7"/>
        <v>1</v>
      </c>
      <c r="O38" s="90">
        <f t="shared" si="7"/>
        <v>1</v>
      </c>
    </row>
    <row r="40" spans="1:15" ht="13" customHeight="1" x14ac:dyDescent="0.3">
      <c r="A40" s="4" t="s">
        <v>323</v>
      </c>
      <c r="B40" s="11"/>
    </row>
    <row r="41" spans="1:15" x14ac:dyDescent="0.25">
      <c r="B41" s="5" t="s">
        <v>173</v>
      </c>
      <c r="C41" s="90">
        <f t="shared" ref="C41:O41" si="8">IF(C18=1,1,C18*0.9)</f>
        <v>1</v>
      </c>
      <c r="D41" s="90">
        <f t="shared" si="8"/>
        <v>1</v>
      </c>
      <c r="E41" s="90">
        <f t="shared" si="8"/>
        <v>1</v>
      </c>
      <c r="F41" s="90">
        <f t="shared" si="8"/>
        <v>1</v>
      </c>
      <c r="G41" s="90">
        <f t="shared" si="8"/>
        <v>1</v>
      </c>
      <c r="H41" s="90">
        <f t="shared" si="8"/>
        <v>1</v>
      </c>
      <c r="I41" s="90">
        <f t="shared" si="8"/>
        <v>1</v>
      </c>
      <c r="J41" s="90">
        <f t="shared" si="8"/>
        <v>1</v>
      </c>
      <c r="K41" s="90">
        <f t="shared" si="8"/>
        <v>1</v>
      </c>
      <c r="L41" s="90">
        <f t="shared" si="8"/>
        <v>1</v>
      </c>
      <c r="M41" s="90">
        <f t="shared" si="8"/>
        <v>1</v>
      </c>
      <c r="N41" s="90">
        <f t="shared" si="8"/>
        <v>1</v>
      </c>
      <c r="O41" s="90">
        <f t="shared" si="8"/>
        <v>1</v>
      </c>
    </row>
    <row r="42" spans="1:15" x14ac:dyDescent="0.25">
      <c r="B42" s="5" t="s">
        <v>174</v>
      </c>
      <c r="C42" s="90">
        <f t="shared" ref="C42:D44" si="9">IF(C19=1,1,C19*0.9)</f>
        <v>1</v>
      </c>
      <c r="D42" s="90">
        <f t="shared" si="9"/>
        <v>1</v>
      </c>
      <c r="E42" s="90">
        <f>IF(ISBLANK('Dist. de l''état nutritionnel'!E$14),0.54,(0.54*'Dist. de l''état nutritionnel'!E$14/(1-0.54*'Dist. de l''état nutritionnel'!E$14))
/ ('Dist. de l''état nutritionnel'!E$14/(1-'Dist. de l''état nutritionnel'!E$14)))</f>
        <v>0.37846861432737988</v>
      </c>
      <c r="F42" s="90">
        <f>IF(ISBLANK('Dist. de l''état nutritionnel'!F$14),0.54,(0.54*'Dist. de l''état nutritionnel'!F$14/(1-0.54*'Dist. de l''état nutritionnel'!F$14))
/ ('Dist. de l''état nutritionnel'!F$14/(1-'Dist. de l''état nutritionnel'!F$14)))</f>
        <v>0.35035984724569114</v>
      </c>
      <c r="G42" s="90">
        <f>IF(ISBLANK('Dist. de l''état nutritionnel'!G$14),0.54,(0.54*'Dist. de l''état nutritionnel'!G$14/(1-0.54*'Dist. de l''état nutritionnel'!G$14))
/ ('Dist. de l''état nutritionnel'!G$14/(1-'Dist. de l''état nutritionnel'!G$14)))</f>
        <v>0.35035984724569114</v>
      </c>
      <c r="H42" s="90">
        <f>IF(ISBLANK('Dist. de l''état nutritionnel'!H$14),0.54,(0.54*'Dist. de l''état nutritionnel'!H$14/(1-0.54*'Dist. de l''état nutritionnel'!H$14))
/ ('Dist. de l''état nutritionnel'!H$14/(1-'Dist. de l''état nutritionnel'!H$14)))</f>
        <v>0.35991985083349565</v>
      </c>
      <c r="I42" s="90">
        <f>IF(ISBLANK('Dist. de l''état nutritionnel'!I$14),0.54,(0.54*'Dist. de l''état nutritionnel'!I$14/(1-0.54*'Dist. de l''état nutritionnel'!I$14))
/ ('Dist. de l''état nutritionnel'!I$14/(1-'Dist. de l''état nutritionnel'!I$14)))</f>
        <v>0.35991985083349565</v>
      </c>
      <c r="J42" s="90">
        <f>IF(ISBLANK('Dist. de l''état nutritionnel'!J$14),0.54,(0.54*'Dist. de l''état nutritionnel'!J$14/(1-0.54*'Dist. de l''état nutritionnel'!J$14))
/ ('Dist. de l''état nutritionnel'!J$14/(1-'Dist. de l''état nutritionnel'!J$14)))</f>
        <v>0.35991985083349565</v>
      </c>
      <c r="K42" s="90">
        <f>IF(ISBLANK('Dist. de l''état nutritionnel'!K$14),0.54,(0.54*'Dist. de l''état nutritionnel'!K$14/(1-0.54*'Dist. de l''état nutritionnel'!K$14))
/ ('Dist. de l''état nutritionnel'!K$14/(1-'Dist. de l''état nutritionnel'!K$14)))</f>
        <v>0.35991985083349565</v>
      </c>
      <c r="L42" s="90">
        <f>IF(ISBLANK('Dist. de l''état nutritionnel'!L$14),0.54,(0.54*'Dist. de l''état nutritionnel'!L$14/(1-0.54*'Dist. de l''état nutritionnel'!L$14))
/ ('Dist. de l''état nutritionnel'!L$14/(1-'Dist. de l''état nutritionnel'!L$14)))</f>
        <v>0.40172718759754461</v>
      </c>
      <c r="M42" s="90">
        <f>IF(ISBLANK('Dist. de l''état nutritionnel'!M$14),0.54,(0.54*'Dist. de l''état nutritionnel'!M$14/(1-0.54*'Dist. de l''état nutritionnel'!M$14))
/ ('Dist. de l''état nutritionnel'!M$14/(1-'Dist. de l''état nutritionnel'!M$14)))</f>
        <v>0.40172718759754461</v>
      </c>
      <c r="N42" s="90">
        <f>IF(ISBLANK('Dist. de l''état nutritionnel'!N$14),0.54,(0.54*'Dist. de l''état nutritionnel'!N$14/(1-0.54*'Dist. de l''état nutritionnel'!N$14))
/ ('Dist. de l''état nutritionnel'!N$14/(1-'Dist. de l''état nutritionnel'!N$14)))</f>
        <v>0.40172718759754461</v>
      </c>
      <c r="O42" s="90">
        <f>IF(ISBLANK('Dist. de l''état nutritionnel'!O$14),0.54,(0.54*'Dist. de l''état nutritionnel'!O$14/(1-0.54*'Dist. de l''état nutritionnel'!O$14))
/ ('Dist. de l''état nutritionnel'!O$14/(1-'Dist. de l''état nutritionnel'!O$14)))</f>
        <v>0.40172718759754461</v>
      </c>
    </row>
    <row r="43" spans="1:15" x14ac:dyDescent="0.25">
      <c r="B43" s="5" t="s">
        <v>175</v>
      </c>
      <c r="C43" s="90">
        <f t="shared" si="9"/>
        <v>1</v>
      </c>
      <c r="D43" s="90">
        <f t="shared" si="9"/>
        <v>1</v>
      </c>
      <c r="E43" s="90">
        <f t="shared" ref="E43:O43" si="10">IF(E20=1,1,E20*0.9)</f>
        <v>1</v>
      </c>
      <c r="F43" s="90">
        <f t="shared" si="10"/>
        <v>1</v>
      </c>
      <c r="G43" s="90">
        <f t="shared" si="10"/>
        <v>1</v>
      </c>
      <c r="H43" s="90">
        <f t="shared" si="10"/>
        <v>1</v>
      </c>
      <c r="I43" s="90">
        <f t="shared" si="10"/>
        <v>1</v>
      </c>
      <c r="J43" s="90">
        <f t="shared" si="10"/>
        <v>1</v>
      </c>
      <c r="K43" s="90">
        <f t="shared" si="10"/>
        <v>1</v>
      </c>
      <c r="L43" s="90">
        <f t="shared" si="10"/>
        <v>1</v>
      </c>
      <c r="M43" s="90">
        <f t="shared" si="10"/>
        <v>1</v>
      </c>
      <c r="N43" s="90">
        <f t="shared" si="10"/>
        <v>1</v>
      </c>
      <c r="O43" s="90">
        <f t="shared" si="10"/>
        <v>1</v>
      </c>
    </row>
    <row r="44" spans="1:15" x14ac:dyDescent="0.25">
      <c r="B44" s="5" t="s">
        <v>183</v>
      </c>
      <c r="C44" s="90">
        <f t="shared" si="9"/>
        <v>1</v>
      </c>
      <c r="D44" s="90">
        <f t="shared" si="9"/>
        <v>1</v>
      </c>
      <c r="E44" s="90">
        <f>IF(ISBLANK('Dist. de l''état nutritionnel'!E$14),0.7,(0.7*'Dist. de l''état nutritionnel'!E$14/(1-0.7*'Dist. de l''état nutritionnel'!E$14))
/ ('Dist. de l''état nutritionnel'!E$14/(1-'Dist. de l''état nutritionnel'!E$14)))</f>
        <v>0.5475810729936319</v>
      </c>
      <c r="F44" s="90">
        <f>IF(ISBLANK('Dist. de l''état nutritionnel'!F$14),0.7,(0.7*'Dist. de l''état nutritionnel'!F$14/(1-0.7*'Dist. de l''état nutritionnel'!F$14))
/ ('Dist. de l''état nutritionnel'!F$14/(1-'Dist. de l''état nutritionnel'!F$14)))</f>
        <v>0.51736735366218523</v>
      </c>
      <c r="G44" s="90">
        <f>IF(ISBLANK('Dist. de l''état nutritionnel'!G$14),0.7,(0.7*'Dist. de l''état nutritionnel'!G$14/(1-0.7*'Dist. de l''état nutritionnel'!G$14))
/ ('Dist. de l''état nutritionnel'!G$14/(1-'Dist. de l''état nutritionnel'!G$14)))</f>
        <v>0.51736735366218523</v>
      </c>
      <c r="H44" s="90">
        <f>IF(ISBLANK('Dist. de l''état nutritionnel'!H$14),0.7,(0.7*'Dist. de l''état nutritionnel'!H$14/(1-0.7*'Dist. de l''état nutritionnel'!H$14))
/ ('Dist. de l''état nutritionnel'!H$14/(1-'Dist. de l''état nutritionnel'!H$14)))</f>
        <v>0.52778215016527619</v>
      </c>
      <c r="I44" s="90">
        <f>IF(ISBLANK('Dist. de l''état nutritionnel'!I$14),0.7,(0.7*'Dist. de l''état nutritionnel'!I$14/(1-0.7*'Dist. de l''état nutritionnel'!I$14))
/ ('Dist. de l''état nutritionnel'!I$14/(1-'Dist. de l''état nutritionnel'!I$14)))</f>
        <v>0.52778215016527619</v>
      </c>
      <c r="J44" s="90">
        <f>IF(ISBLANK('Dist. de l''état nutritionnel'!J$14),0.7,(0.7*'Dist. de l''état nutritionnel'!J$14/(1-0.7*'Dist. de l''état nutritionnel'!J$14))
/ ('Dist. de l''état nutritionnel'!J$14/(1-'Dist. de l''état nutritionnel'!J$14)))</f>
        <v>0.52778215016527619</v>
      </c>
      <c r="K44" s="90">
        <f>IF(ISBLANK('Dist. de l''état nutritionnel'!K$14),0.7,(0.7*'Dist. de l''état nutritionnel'!K$14/(1-0.7*'Dist. de l''état nutritionnel'!K$14))
/ ('Dist. de l''état nutritionnel'!K$14/(1-'Dist. de l''état nutritionnel'!K$14)))</f>
        <v>0.52778215016527619</v>
      </c>
      <c r="L44" s="90">
        <f>IF(ISBLANK('Dist. de l''état nutritionnel'!L$14),0.7,(0.7*'Dist. de l''état nutritionnel'!L$14/(1-0.7*'Dist. de l''état nutritionnel'!L$14))
/ ('Dist. de l''état nutritionnel'!L$14/(1-'Dist. de l''état nutritionnel'!L$14)))</f>
        <v>0.57167332952598515</v>
      </c>
      <c r="M44" s="90">
        <f>IF(ISBLANK('Dist. de l''état nutritionnel'!M$14),0.7,(0.7*'Dist. de l''état nutritionnel'!M$14/(1-0.7*'Dist. de l''état nutritionnel'!M$14))
/ ('Dist. de l''état nutritionnel'!M$14/(1-'Dist. de l''état nutritionnel'!M$14)))</f>
        <v>0.57167332952598515</v>
      </c>
      <c r="N44" s="90">
        <f>IF(ISBLANK('Dist. de l''état nutritionnel'!N$14),0.7,(0.7*'Dist. de l''état nutritionnel'!N$14/(1-0.7*'Dist. de l''état nutritionnel'!N$14))
/ ('Dist. de l''état nutritionnel'!N$14/(1-'Dist. de l''état nutritionnel'!N$14)))</f>
        <v>0.57167332952598515</v>
      </c>
      <c r="O44" s="90">
        <f>IF(ISBLANK('Dist. de l''état nutritionnel'!O$14),0.7,(0.7*'Dist. de l''état nutritionnel'!O$14/(1-0.7*'Dist. de l''état nutritionnel'!O$14))
/ ('Dist. de l''état nutritionnel'!O$14/(1-'Dist. de l''état nutritionnel'!O$14)))</f>
        <v>0.57167332952598515</v>
      </c>
    </row>
    <row r="46" spans="1:15" s="92" customFormat="1" ht="13" customHeight="1" x14ac:dyDescent="0.3">
      <c r="A46" s="92" t="s">
        <v>239</v>
      </c>
    </row>
    <row r="47" spans="1:15" ht="26" customHeight="1" x14ac:dyDescent="0.3">
      <c r="A47" s="4"/>
      <c r="B47" s="4"/>
      <c r="C47" s="70" t="s">
        <v>109</v>
      </c>
      <c r="D47" s="70" t="s">
        <v>96</v>
      </c>
      <c r="E47" s="70" t="s">
        <v>97</v>
      </c>
      <c r="F47" s="70" t="s">
        <v>98</v>
      </c>
      <c r="G47" s="70" t="s">
        <v>99</v>
      </c>
      <c r="H47" s="70" t="s">
        <v>69</v>
      </c>
      <c r="I47" s="70" t="s">
        <v>70</v>
      </c>
      <c r="J47" s="70" t="s">
        <v>71</v>
      </c>
      <c r="K47" s="70" t="s">
        <v>72</v>
      </c>
      <c r="L47" s="70" t="s">
        <v>122</v>
      </c>
      <c r="M47" s="70" t="s">
        <v>123</v>
      </c>
      <c r="N47" s="70" t="s">
        <v>124</v>
      </c>
      <c r="O47" s="70" t="s">
        <v>125</v>
      </c>
    </row>
    <row r="48" spans="1:15" ht="13" customHeight="1" x14ac:dyDescent="0.3">
      <c r="A48" s="4" t="s">
        <v>322</v>
      </c>
    </row>
    <row r="49" spans="1:15" x14ac:dyDescent="0.25">
      <c r="B49" s="11" t="s">
        <v>171</v>
      </c>
      <c r="C49" s="90">
        <v>0.7</v>
      </c>
      <c r="D49" s="90">
        <v>0.7</v>
      </c>
      <c r="E49" s="90">
        <f t="shared" ref="E49:O49" si="11">IF(E3=1,1,E3*1.05)</f>
        <v>1</v>
      </c>
      <c r="F49" s="90">
        <f t="shared" si="11"/>
        <v>1</v>
      </c>
      <c r="G49" s="90">
        <f t="shared" si="11"/>
        <v>1</v>
      </c>
      <c r="H49" s="90">
        <f t="shared" si="11"/>
        <v>1</v>
      </c>
      <c r="I49" s="90">
        <f t="shared" si="11"/>
        <v>1</v>
      </c>
      <c r="J49" s="90">
        <f t="shared" si="11"/>
        <v>1</v>
      </c>
      <c r="K49" s="90">
        <f t="shared" si="11"/>
        <v>1</v>
      </c>
      <c r="L49" s="90">
        <f t="shared" si="11"/>
        <v>1</v>
      </c>
      <c r="M49" s="90">
        <f t="shared" si="11"/>
        <v>1</v>
      </c>
      <c r="N49" s="90">
        <f t="shared" si="11"/>
        <v>1</v>
      </c>
      <c r="O49" s="90">
        <f t="shared" si="11"/>
        <v>1</v>
      </c>
    </row>
    <row r="50" spans="1:15" x14ac:dyDescent="0.25">
      <c r="B50" s="11" t="s">
        <v>176</v>
      </c>
      <c r="C50" s="90">
        <f t="shared" ref="C50:G56" si="12">IF(C4=1,1,C4*1.05)</f>
        <v>1</v>
      </c>
      <c r="D50" s="90">
        <f t="shared" si="12"/>
        <v>1</v>
      </c>
      <c r="E50" s="90">
        <f t="shared" si="12"/>
        <v>1</v>
      </c>
      <c r="F50" s="90">
        <f t="shared" si="12"/>
        <v>1</v>
      </c>
      <c r="G50" s="90">
        <f t="shared" si="12"/>
        <v>1</v>
      </c>
      <c r="H50" s="90">
        <v>0.95</v>
      </c>
      <c r="I50" s="90">
        <v>0.95</v>
      </c>
      <c r="J50" s="90">
        <v>0.95</v>
      </c>
      <c r="K50" s="90">
        <v>0.95</v>
      </c>
      <c r="L50" s="90">
        <f t="shared" ref="L50:O53" si="13">IF(L4=1,1,L4*1.05)</f>
        <v>1</v>
      </c>
      <c r="M50" s="90">
        <f t="shared" si="13"/>
        <v>1</v>
      </c>
      <c r="N50" s="90">
        <f t="shared" si="13"/>
        <v>1</v>
      </c>
      <c r="O50" s="90">
        <f t="shared" si="13"/>
        <v>1</v>
      </c>
    </row>
    <row r="51" spans="1:15" x14ac:dyDescent="0.25">
      <c r="B51" s="11" t="s">
        <v>177</v>
      </c>
      <c r="C51" s="90">
        <f t="shared" si="12"/>
        <v>1</v>
      </c>
      <c r="D51" s="90">
        <f t="shared" si="12"/>
        <v>1</v>
      </c>
      <c r="E51" s="90">
        <f t="shared" si="12"/>
        <v>1</v>
      </c>
      <c r="F51" s="90">
        <f t="shared" si="12"/>
        <v>1</v>
      </c>
      <c r="G51" s="90">
        <f t="shared" si="12"/>
        <v>1</v>
      </c>
      <c r="H51" s="90">
        <v>0.95</v>
      </c>
      <c r="I51" s="90">
        <v>0.95</v>
      </c>
      <c r="J51" s="90">
        <v>0.95</v>
      </c>
      <c r="K51" s="90">
        <v>0.95</v>
      </c>
      <c r="L51" s="90">
        <f t="shared" si="13"/>
        <v>1</v>
      </c>
      <c r="M51" s="90">
        <f t="shared" si="13"/>
        <v>1</v>
      </c>
      <c r="N51" s="90">
        <f t="shared" si="13"/>
        <v>1</v>
      </c>
      <c r="O51" s="90">
        <f t="shared" si="13"/>
        <v>1</v>
      </c>
    </row>
    <row r="52" spans="1:15" x14ac:dyDescent="0.25">
      <c r="B52" s="11" t="s">
        <v>178</v>
      </c>
      <c r="C52" s="90">
        <f t="shared" si="12"/>
        <v>1</v>
      </c>
      <c r="D52" s="90">
        <f t="shared" si="12"/>
        <v>1</v>
      </c>
      <c r="E52" s="90">
        <f t="shared" si="12"/>
        <v>1</v>
      </c>
      <c r="F52" s="90">
        <f t="shared" si="12"/>
        <v>1</v>
      </c>
      <c r="G52" s="90">
        <f t="shared" si="12"/>
        <v>1</v>
      </c>
      <c r="H52" s="90">
        <v>0.95</v>
      </c>
      <c r="I52" s="90">
        <v>0.95</v>
      </c>
      <c r="J52" s="90">
        <v>0.95</v>
      </c>
      <c r="K52" s="90">
        <v>0.95</v>
      </c>
      <c r="L52" s="90">
        <f t="shared" si="13"/>
        <v>1</v>
      </c>
      <c r="M52" s="90">
        <f t="shared" si="13"/>
        <v>1</v>
      </c>
      <c r="N52" s="90">
        <f t="shared" si="13"/>
        <v>1</v>
      </c>
      <c r="O52" s="90">
        <f t="shared" si="13"/>
        <v>1</v>
      </c>
    </row>
    <row r="53" spans="1:15" x14ac:dyDescent="0.25">
      <c r="B53" s="11" t="s">
        <v>179</v>
      </c>
      <c r="C53" s="90">
        <f t="shared" si="12"/>
        <v>1</v>
      </c>
      <c r="D53" s="90">
        <f t="shared" si="12"/>
        <v>1</v>
      </c>
      <c r="E53" s="90">
        <f t="shared" si="12"/>
        <v>1</v>
      </c>
      <c r="F53" s="90">
        <f t="shared" si="12"/>
        <v>1</v>
      </c>
      <c r="G53" s="90">
        <f t="shared" si="12"/>
        <v>1</v>
      </c>
      <c r="H53" s="90">
        <v>0.95</v>
      </c>
      <c r="I53" s="90">
        <v>0.95</v>
      </c>
      <c r="J53" s="90">
        <v>0.95</v>
      </c>
      <c r="K53" s="90">
        <v>0.95</v>
      </c>
      <c r="L53" s="90">
        <f t="shared" si="13"/>
        <v>1</v>
      </c>
      <c r="M53" s="90">
        <f t="shared" si="13"/>
        <v>1</v>
      </c>
      <c r="N53" s="90">
        <f t="shared" si="13"/>
        <v>1</v>
      </c>
      <c r="O53" s="90">
        <f t="shared" si="13"/>
        <v>1</v>
      </c>
    </row>
    <row r="54" spans="1:15" x14ac:dyDescent="0.25">
      <c r="B54" s="5" t="s">
        <v>180</v>
      </c>
      <c r="C54" s="90">
        <f t="shared" si="12"/>
        <v>1</v>
      </c>
      <c r="D54" s="90">
        <f t="shared" si="12"/>
        <v>1</v>
      </c>
      <c r="E54" s="90">
        <f t="shared" si="12"/>
        <v>1</v>
      </c>
      <c r="F54" s="90">
        <f t="shared" si="12"/>
        <v>1</v>
      </c>
      <c r="G54" s="90">
        <f t="shared" si="12"/>
        <v>1</v>
      </c>
      <c r="H54" s="90">
        <f t="shared" ref="H54:K57" si="14">IF(H8=1,1,H8*1.05)</f>
        <v>1</v>
      </c>
      <c r="I54" s="90">
        <f t="shared" si="14"/>
        <v>1</v>
      </c>
      <c r="J54" s="90">
        <f t="shared" si="14"/>
        <v>1</v>
      </c>
      <c r="K54" s="90">
        <f t="shared" si="14"/>
        <v>1</v>
      </c>
      <c r="L54" s="90">
        <v>0.7</v>
      </c>
      <c r="M54" s="90">
        <v>0.7</v>
      </c>
      <c r="N54" s="90">
        <v>0.7</v>
      </c>
      <c r="O54" s="90">
        <v>0.7</v>
      </c>
    </row>
    <row r="55" spans="1:15" x14ac:dyDescent="0.25">
      <c r="B55" s="5" t="s">
        <v>181</v>
      </c>
      <c r="C55" s="90">
        <f t="shared" si="12"/>
        <v>1</v>
      </c>
      <c r="D55" s="90">
        <f t="shared" si="12"/>
        <v>1</v>
      </c>
      <c r="E55" s="90">
        <f t="shared" si="12"/>
        <v>1</v>
      </c>
      <c r="F55" s="90">
        <f t="shared" si="12"/>
        <v>1</v>
      </c>
      <c r="G55" s="90">
        <f t="shared" si="12"/>
        <v>1</v>
      </c>
      <c r="H55" s="90">
        <f t="shared" si="14"/>
        <v>1</v>
      </c>
      <c r="I55" s="90">
        <f t="shared" si="14"/>
        <v>1</v>
      </c>
      <c r="J55" s="90">
        <f t="shared" si="14"/>
        <v>1</v>
      </c>
      <c r="K55" s="90">
        <f t="shared" si="14"/>
        <v>1</v>
      </c>
      <c r="L55" s="90">
        <v>0.7</v>
      </c>
      <c r="M55" s="90">
        <v>0.7</v>
      </c>
      <c r="N55" s="90">
        <v>0.7</v>
      </c>
      <c r="O55" s="90">
        <v>0.7</v>
      </c>
    </row>
    <row r="56" spans="1:15" x14ac:dyDescent="0.25">
      <c r="B56" s="11" t="s">
        <v>182</v>
      </c>
      <c r="C56" s="90">
        <f t="shared" si="12"/>
        <v>1</v>
      </c>
      <c r="D56" s="90">
        <f t="shared" si="12"/>
        <v>1</v>
      </c>
      <c r="E56" s="90">
        <f t="shared" si="12"/>
        <v>1</v>
      </c>
      <c r="F56" s="90">
        <f t="shared" si="12"/>
        <v>1</v>
      </c>
      <c r="G56" s="90">
        <f t="shared" si="12"/>
        <v>1</v>
      </c>
      <c r="H56" s="90">
        <f t="shared" si="14"/>
        <v>1</v>
      </c>
      <c r="I56" s="90">
        <f t="shared" si="14"/>
        <v>1</v>
      </c>
      <c r="J56" s="90">
        <f t="shared" si="14"/>
        <v>1</v>
      </c>
      <c r="K56" s="90">
        <f t="shared" si="14"/>
        <v>1</v>
      </c>
      <c r="L56" s="90">
        <v>0.93</v>
      </c>
      <c r="M56" s="90">
        <v>0.93</v>
      </c>
      <c r="N56" s="90">
        <v>0.93</v>
      </c>
      <c r="O56" s="90">
        <v>0.93</v>
      </c>
    </row>
    <row r="57" spans="1:15" x14ac:dyDescent="0.25">
      <c r="B57" s="5" t="s">
        <v>185</v>
      </c>
      <c r="C57" s="90">
        <f>IF(C11=1,1,C11*1.05)</f>
        <v>1</v>
      </c>
      <c r="D57" s="90">
        <f>IF(D11=1,1,D11*1.05)</f>
        <v>1</v>
      </c>
      <c r="E57" s="90">
        <v>0.77</v>
      </c>
      <c r="F57" s="90">
        <v>0.77</v>
      </c>
      <c r="G57" s="90">
        <f>IF(G11=1,1,G11*1.05)</f>
        <v>1</v>
      </c>
      <c r="H57" s="90">
        <f t="shared" si="14"/>
        <v>1</v>
      </c>
      <c r="I57" s="90">
        <f t="shared" si="14"/>
        <v>1</v>
      </c>
      <c r="J57" s="90">
        <f t="shared" si="14"/>
        <v>1</v>
      </c>
      <c r="K57" s="90">
        <f t="shared" si="14"/>
        <v>1</v>
      </c>
      <c r="L57" s="90">
        <f>IF(L11=1,1,L11*1.05)</f>
        <v>1</v>
      </c>
      <c r="M57" s="90">
        <f>IF(M11=1,1,M11*1.05)</f>
        <v>1</v>
      </c>
      <c r="N57" s="90">
        <f>IF(N11=1,1,N11*1.05)</f>
        <v>1</v>
      </c>
      <c r="O57" s="90">
        <f>IF(O11=1,1,O11*1.05)</f>
        <v>1</v>
      </c>
    </row>
    <row r="58" spans="1:15" x14ac:dyDescent="0.25">
      <c r="B58" s="11" t="s">
        <v>186</v>
      </c>
      <c r="C58" s="90">
        <v>0.93</v>
      </c>
      <c r="D58" s="90">
        <v>0.93</v>
      </c>
      <c r="E58" s="90">
        <v>0.93</v>
      </c>
      <c r="F58" s="90">
        <v>0.93</v>
      </c>
      <c r="G58" s="90">
        <v>0.93</v>
      </c>
      <c r="H58" s="90">
        <v>0.93</v>
      </c>
      <c r="I58" s="90">
        <v>0.93</v>
      </c>
      <c r="J58" s="90">
        <v>0.93</v>
      </c>
      <c r="K58" s="90">
        <v>0.93</v>
      </c>
      <c r="L58" s="90">
        <v>0.93</v>
      </c>
      <c r="M58" s="90">
        <v>0.93</v>
      </c>
      <c r="N58" s="90">
        <v>0.93</v>
      </c>
      <c r="O58" s="90">
        <v>0.93</v>
      </c>
    </row>
    <row r="59" spans="1:15" x14ac:dyDescent="0.25">
      <c r="B59" s="11" t="s">
        <v>189</v>
      </c>
      <c r="C59" s="90">
        <f t="shared" ref="C59:D61" si="15">IF(C13=1,1,C13*1.05)</f>
        <v>1</v>
      </c>
      <c r="D59" s="90">
        <f t="shared" si="15"/>
        <v>1</v>
      </c>
      <c r="E59" s="90">
        <v>0.77</v>
      </c>
      <c r="F59" s="90">
        <v>0.77</v>
      </c>
      <c r="G59" s="90">
        <v>0.77</v>
      </c>
      <c r="H59" s="90">
        <f t="shared" ref="H59:O59" si="16">IF(H13=1,1,H13*1.05)</f>
        <v>1</v>
      </c>
      <c r="I59" s="90">
        <f t="shared" si="16"/>
        <v>1</v>
      </c>
      <c r="J59" s="90">
        <f t="shared" si="16"/>
        <v>1</v>
      </c>
      <c r="K59" s="90">
        <f t="shared" si="16"/>
        <v>1</v>
      </c>
      <c r="L59" s="90">
        <f t="shared" si="16"/>
        <v>1</v>
      </c>
      <c r="M59" s="90">
        <f t="shared" si="16"/>
        <v>1</v>
      </c>
      <c r="N59" s="90">
        <f t="shared" si="16"/>
        <v>1</v>
      </c>
      <c r="O59" s="90">
        <f t="shared" si="16"/>
        <v>1</v>
      </c>
    </row>
    <row r="60" spans="1:15" x14ac:dyDescent="0.25">
      <c r="B60" s="11" t="s">
        <v>190</v>
      </c>
      <c r="C60" s="90">
        <f t="shared" si="15"/>
        <v>1</v>
      </c>
      <c r="D60" s="90">
        <f t="shared" si="15"/>
        <v>1</v>
      </c>
      <c r="E60" s="90">
        <f t="shared" ref="E60:K60" si="17">IF(E14=1,1,E14*1.05)</f>
        <v>1</v>
      </c>
      <c r="F60" s="90">
        <f t="shared" si="17"/>
        <v>1</v>
      </c>
      <c r="G60" s="90">
        <f t="shared" si="17"/>
        <v>1</v>
      </c>
      <c r="H60" s="90">
        <f t="shared" si="17"/>
        <v>1</v>
      </c>
      <c r="I60" s="90">
        <f t="shared" si="17"/>
        <v>1</v>
      </c>
      <c r="J60" s="90">
        <f t="shared" si="17"/>
        <v>1</v>
      </c>
      <c r="K60" s="90">
        <f t="shared" si="17"/>
        <v>1</v>
      </c>
      <c r="L60" s="90">
        <f>L54</f>
        <v>0.7</v>
      </c>
      <c r="M60" s="90">
        <f>M54</f>
        <v>0.7</v>
      </c>
      <c r="N60" s="90">
        <f>N54</f>
        <v>0.7</v>
      </c>
      <c r="O60" s="90">
        <f>O54</f>
        <v>0.7</v>
      </c>
    </row>
    <row r="61" spans="1:15" x14ac:dyDescent="0.25">
      <c r="B61" s="5" t="s">
        <v>205</v>
      </c>
      <c r="C61" s="90">
        <f t="shared" si="15"/>
        <v>1</v>
      </c>
      <c r="D61" s="90">
        <f t="shared" si="15"/>
        <v>1</v>
      </c>
      <c r="E61" s="90">
        <v>0.44</v>
      </c>
      <c r="F61" s="90">
        <v>0.44</v>
      </c>
      <c r="G61" s="90">
        <f t="shared" ref="G61:O61" si="18">IF(G15=1,1,G15*1.05)</f>
        <v>1</v>
      </c>
      <c r="H61" s="90">
        <f t="shared" si="18"/>
        <v>1</v>
      </c>
      <c r="I61" s="90">
        <f t="shared" si="18"/>
        <v>1</v>
      </c>
      <c r="J61" s="90">
        <f t="shared" si="18"/>
        <v>1</v>
      </c>
      <c r="K61" s="90">
        <f t="shared" si="18"/>
        <v>1</v>
      </c>
      <c r="L61" s="90">
        <f t="shared" si="18"/>
        <v>1</v>
      </c>
      <c r="M61" s="90">
        <f t="shared" si="18"/>
        <v>1</v>
      </c>
      <c r="N61" s="90">
        <f t="shared" si="18"/>
        <v>1</v>
      </c>
      <c r="O61" s="90">
        <f t="shared" si="18"/>
        <v>1</v>
      </c>
    </row>
    <row r="63" spans="1:15" ht="13" customHeight="1" x14ac:dyDescent="0.3">
      <c r="A63" s="4" t="s">
        <v>324</v>
      </c>
      <c r="B63" s="11"/>
    </row>
    <row r="64" spans="1:15" x14ac:dyDescent="0.25">
      <c r="B64" s="5" t="s">
        <v>173</v>
      </c>
      <c r="C64" s="90">
        <f t="shared" ref="C64:O64" si="19">IF(C18=1,1,C18*1.05)</f>
        <v>1</v>
      </c>
      <c r="D64" s="90">
        <f t="shared" si="19"/>
        <v>1</v>
      </c>
      <c r="E64" s="90">
        <f t="shared" si="19"/>
        <v>1</v>
      </c>
      <c r="F64" s="90">
        <f t="shared" si="19"/>
        <v>1</v>
      </c>
      <c r="G64" s="90">
        <f t="shared" si="19"/>
        <v>1</v>
      </c>
      <c r="H64" s="90">
        <f t="shared" si="19"/>
        <v>1</v>
      </c>
      <c r="I64" s="90">
        <f t="shared" si="19"/>
        <v>1</v>
      </c>
      <c r="J64" s="90">
        <f t="shared" si="19"/>
        <v>1</v>
      </c>
      <c r="K64" s="90">
        <f t="shared" si="19"/>
        <v>1</v>
      </c>
      <c r="L64" s="90">
        <f t="shared" si="19"/>
        <v>1</v>
      </c>
      <c r="M64" s="90">
        <f t="shared" si="19"/>
        <v>1</v>
      </c>
      <c r="N64" s="90">
        <f t="shared" si="19"/>
        <v>1</v>
      </c>
      <c r="O64" s="90">
        <f t="shared" si="19"/>
        <v>1</v>
      </c>
    </row>
    <row r="65" spans="2:15" x14ac:dyDescent="0.25">
      <c r="B65" s="5" t="s">
        <v>174</v>
      </c>
      <c r="C65" s="90">
        <f t="shared" ref="C65:D67" si="20">IF(C19=1,1,C19*1.05)</f>
        <v>1</v>
      </c>
      <c r="D65" s="90">
        <f t="shared" si="20"/>
        <v>1</v>
      </c>
      <c r="E65" s="90">
        <f>IF(ISBLANK('Dist. de l''état nutritionnel'!E$14),0.97,(0.97*'Dist. de l''état nutritionnel'!E$14/(1-0.97*'Dist. de l''état nutritionnel'!E$14))
/ ('Dist. de l''état nutritionnel'!E$14/(1-'Dist. de l''état nutritionnel'!E$14)))</f>
        <v>0.94373128528723016</v>
      </c>
      <c r="F65" s="90">
        <f>IF(ISBLANK('Dist. de l''état nutritionnel'!F$14),0.97,(0.97*'Dist. de l''état nutritionnel'!F$14/(1-0.97*'Dist. de l''état nutritionnel'!F$14))
/ ('Dist. de l''état nutritionnel'!F$14/(1-'Dist. de l''état nutritionnel'!F$14)))</f>
        <v>0.93692615005630731</v>
      </c>
      <c r="G65" s="90">
        <f>IF(ISBLANK('Dist. de l''état nutritionnel'!G$14),0.97,(0.97*'Dist. de l''état nutritionnel'!G$14/(1-0.97*'Dist. de l''état nutritionnel'!G$14))
/ ('Dist. de l''état nutritionnel'!G$14/(1-'Dist. de l''état nutritionnel'!G$14)))</f>
        <v>0.93692615005630731</v>
      </c>
      <c r="H65" s="90">
        <f>IF(ISBLANK('Dist. de l''état nutritionnel'!H$14),0.97,(0.97*'Dist. de l''état nutritionnel'!H$14/(1-0.97*'Dist. de l''état nutritionnel'!H$14))
/ ('Dist. de l''état nutritionnel'!H$14/(1-'Dist. de l''état nutritionnel'!H$14)))</f>
        <v>0.93934860400703524</v>
      </c>
      <c r="I65" s="90">
        <f>IF(ISBLANK('Dist. de l''état nutritionnel'!I$14),0.97,(0.97*'Dist. de l''état nutritionnel'!I$14/(1-0.97*'Dist. de l''état nutritionnel'!I$14))
/ ('Dist. de l''état nutritionnel'!I$14/(1-'Dist. de l''état nutritionnel'!I$14)))</f>
        <v>0.93934860400703524</v>
      </c>
      <c r="J65" s="90">
        <f>IF(ISBLANK('Dist. de l''état nutritionnel'!J$14),0.97,(0.97*'Dist. de l''état nutritionnel'!J$14/(1-0.97*'Dist. de l''état nutritionnel'!J$14))
/ ('Dist. de l''état nutritionnel'!J$14/(1-'Dist. de l''état nutritionnel'!J$14)))</f>
        <v>0.93934860400703524</v>
      </c>
      <c r="K65" s="90">
        <f>IF(ISBLANK('Dist. de l''état nutritionnel'!K$14),0.97,(0.97*'Dist. de l''état nutritionnel'!K$14/(1-0.97*'Dist. de l''état nutritionnel'!K$14))
/ ('Dist. de l''état nutritionnel'!K$14/(1-'Dist. de l''état nutritionnel'!K$14)))</f>
        <v>0.93934860400703524</v>
      </c>
      <c r="L65" s="90">
        <f>IF(ISBLANK('Dist. de l''état nutritionnel'!L$14),0.97,(0.97*'Dist. de l''état nutritionnel'!L$14/(1-0.97*'Dist. de l''état nutritionnel'!L$14))
/ ('Dist. de l''état nutritionnel'!L$14/(1-'Dist. de l''état nutritionnel'!L$14)))</f>
        <v>0.94870391902058693</v>
      </c>
      <c r="M65" s="90">
        <f>IF(ISBLANK('Dist. de l''état nutritionnel'!M$14),0.97,(0.97*'Dist. de l''état nutritionnel'!M$14/(1-0.97*'Dist. de l''état nutritionnel'!M$14))
/ ('Dist. de l''état nutritionnel'!M$14/(1-'Dist. de l''état nutritionnel'!M$14)))</f>
        <v>0.94870391902058693</v>
      </c>
      <c r="N65" s="90">
        <f>IF(ISBLANK('Dist. de l''état nutritionnel'!N$14),0.97,(0.97*'Dist. de l''état nutritionnel'!N$14/(1-0.97*'Dist. de l''état nutritionnel'!N$14))
/ ('Dist. de l''état nutritionnel'!N$14/(1-'Dist. de l''état nutritionnel'!N$14)))</f>
        <v>0.94870391902058693</v>
      </c>
      <c r="O65" s="90">
        <f>IF(ISBLANK('Dist. de l''état nutritionnel'!O$14),0.97,(0.97*'Dist. de l''état nutritionnel'!O$14/(1-0.97*'Dist. de l''état nutritionnel'!O$14))
/ ('Dist. de l''état nutritionnel'!O$14/(1-'Dist. de l''état nutritionnel'!O$14)))</f>
        <v>0.94870391902058693</v>
      </c>
    </row>
    <row r="66" spans="2:15" x14ac:dyDescent="0.25">
      <c r="B66" s="5" t="s">
        <v>175</v>
      </c>
      <c r="C66" s="90">
        <f t="shared" si="20"/>
        <v>1</v>
      </c>
      <c r="D66" s="90">
        <f t="shared" si="20"/>
        <v>1</v>
      </c>
      <c r="E66" s="90">
        <f t="shared" ref="E66:O66" si="21">IF(E20=1,1,E20*1.05)</f>
        <v>1</v>
      </c>
      <c r="F66" s="90">
        <f t="shared" si="21"/>
        <v>1</v>
      </c>
      <c r="G66" s="90">
        <f t="shared" si="21"/>
        <v>1</v>
      </c>
      <c r="H66" s="90">
        <f t="shared" si="21"/>
        <v>1</v>
      </c>
      <c r="I66" s="90">
        <f t="shared" si="21"/>
        <v>1</v>
      </c>
      <c r="J66" s="90">
        <f t="shared" si="21"/>
        <v>1</v>
      </c>
      <c r="K66" s="90">
        <f t="shared" si="21"/>
        <v>1</v>
      </c>
      <c r="L66" s="90">
        <f t="shared" si="21"/>
        <v>1</v>
      </c>
      <c r="M66" s="90">
        <f t="shared" si="21"/>
        <v>1</v>
      </c>
      <c r="N66" s="90">
        <f t="shared" si="21"/>
        <v>1</v>
      </c>
      <c r="O66" s="90">
        <f t="shared" si="21"/>
        <v>1</v>
      </c>
    </row>
    <row r="67" spans="2:15" x14ac:dyDescent="0.25">
      <c r="B67" s="5" t="s">
        <v>183</v>
      </c>
      <c r="C67" s="90">
        <f t="shared" si="20"/>
        <v>1</v>
      </c>
      <c r="D67" s="90">
        <f t="shared" si="20"/>
        <v>1</v>
      </c>
      <c r="E67" s="90">
        <f>IF(ISBLANK('Dist. de l''état nutritionnel'!E$14),0.92,(0.92*'Dist. de l''état nutritionnel'!E$14/(1-0.92*'Dist. de l''état nutritionnel'!E$14))
/ ('Dist. de l''état nutritionnel'!E$14/(1-'Dist. de l''état nutritionnel'!E$14)))</f>
        <v>0.85643015476234696</v>
      </c>
      <c r="F67" s="90">
        <f>IF(ISBLANK('Dist. de l''état nutritionnel'!F$14),0.92,(0.92*'Dist. de l''état nutritionnel'!F$14/(1-0.92*'Dist. de l''état nutritionnel'!F$14))
/ ('Dist. de l''état nutritionnel'!F$14/(1-'Dist. de l''état nutritionnel'!F$14)))</f>
        <v>0.84084737934872023</v>
      </c>
      <c r="G67" s="90">
        <f>IF(ISBLANK('Dist. de l''état nutritionnel'!G$14),0.92,(0.92*'Dist. de l''état nutritionnel'!G$14/(1-0.92*'Dist. de l''état nutritionnel'!G$14))
/ ('Dist. de l''état nutritionnel'!G$14/(1-'Dist. de l''état nutritionnel'!G$14)))</f>
        <v>0.84084737934872023</v>
      </c>
      <c r="H67" s="90">
        <f>IF(ISBLANK('Dist. de l''état nutritionnel'!H$14),0.92,(0.92*'Dist. de l''état nutritionnel'!H$14/(1-0.92*'Dist. de l''état nutritionnel'!H$14))
/ ('Dist. de l''état nutritionnel'!H$14/(1-'Dist. de l''état nutritionnel'!H$14)))</f>
        <v>0.84635476684335853</v>
      </c>
      <c r="I67" s="90">
        <f>IF(ISBLANK('Dist. de l''état nutritionnel'!I$14),0.92,(0.92*'Dist. de l''état nutritionnel'!I$14/(1-0.92*'Dist. de l''état nutritionnel'!I$14))
/ ('Dist. de l''état nutritionnel'!I$14/(1-'Dist. de l''état nutritionnel'!I$14)))</f>
        <v>0.84635476684335853</v>
      </c>
      <c r="J67" s="90">
        <f>IF(ISBLANK('Dist. de l''état nutritionnel'!J$14),0.92,(0.92*'Dist. de l''état nutritionnel'!J$14/(1-0.92*'Dist. de l''état nutritionnel'!J$14))
/ ('Dist. de l''état nutritionnel'!J$14/(1-'Dist. de l''état nutritionnel'!J$14)))</f>
        <v>0.84635476684335853</v>
      </c>
      <c r="K67" s="90">
        <f>IF(ISBLANK('Dist. de l''état nutritionnel'!K$14),0.92,(0.92*'Dist. de l''état nutritionnel'!K$14/(1-0.92*'Dist. de l''état nutritionnel'!K$14))
/ ('Dist. de l''état nutritionnel'!K$14/(1-'Dist. de l''état nutritionnel'!K$14)))</f>
        <v>0.84635476684335853</v>
      </c>
      <c r="L67" s="90">
        <f>IF(ISBLANK('Dist. de l''état nutritionnel'!L$14),0.92,(0.92*'Dist. de l''état nutritionnel'!L$14/(1-0.92*'Dist. de l''état nutritionnel'!L$14))
/ ('Dist. de l''état nutritionnel'!L$14/(1-'Dist. de l''état nutritionnel'!L$14)))</f>
        <v>0.86803906043811052</v>
      </c>
      <c r="M67" s="90">
        <f>IF(ISBLANK('Dist. de l''état nutritionnel'!M$14),0.92,(0.92*'Dist. de l''état nutritionnel'!M$14/(1-0.92*'Dist. de l''état nutritionnel'!M$14))
/ ('Dist. de l''état nutritionnel'!M$14/(1-'Dist. de l''état nutritionnel'!M$14)))</f>
        <v>0.86803906043811052</v>
      </c>
      <c r="N67" s="90">
        <f>IF(ISBLANK('Dist. de l''état nutritionnel'!N$14),0.92,(0.92*'Dist. de l''état nutritionnel'!N$14/(1-0.92*'Dist. de l''état nutritionnel'!N$14))
/ ('Dist. de l''état nutritionnel'!N$14/(1-'Dist. de l''état nutritionnel'!N$14)))</f>
        <v>0.86803906043811052</v>
      </c>
      <c r="O67" s="90">
        <f>IF(ISBLANK('Dist. de l''état nutritionnel'!O$14),0.92,(0.92*'Dist. de l''état nutritionnel'!O$14/(1-0.92*'Dist. de l''état nutritionnel'!O$14))
/ ('Dist. de l''état nutritionnel'!O$14/(1-'Dist. de l''état nutritionnel'!O$14)))</f>
        <v>0.86803906043811052</v>
      </c>
    </row>
  </sheetData>
  <sheetProtection algorithmName="SHA-512" hashValue="KYfPmtyvP9kylm6+/ntbS4/ibPtuY4JP3kLxQU7tBA/z+ZbuS12EzswQgPZQxAaGnIdYP9mC3wxtcvZKFT00wg==" saltValue="tNmElUB8gSq2bjRctGYu9g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C3" sqref="C3"/>
    </sheetView>
  </sheetViews>
  <sheetFormatPr defaultColWidth="12.81640625" defaultRowHeight="12.5" x14ac:dyDescent="0.25"/>
  <cols>
    <col min="1" max="1" width="21.36328125" style="8" customWidth="1"/>
    <col min="2" max="2" width="27.81640625" style="8" customWidth="1"/>
    <col min="3" max="7" width="15.54296875" style="8" customWidth="1"/>
    <col min="8" max="8" width="12.81640625" style="8" customWidth="1"/>
    <col min="9" max="16384" width="12.81640625" style="8"/>
  </cols>
  <sheetData>
    <row r="1" spans="1:7" ht="13" customHeight="1" x14ac:dyDescent="0.3">
      <c r="A1" s="4"/>
      <c r="B1" s="1"/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</row>
    <row r="2" spans="1:7" ht="13" customHeight="1" x14ac:dyDescent="0.3">
      <c r="A2" s="4" t="s">
        <v>325</v>
      </c>
    </row>
    <row r="3" spans="1:7" ht="13.25" customHeight="1" x14ac:dyDescent="0.25">
      <c r="B3" s="11" t="s">
        <v>161</v>
      </c>
      <c r="C3" s="90">
        <v>1</v>
      </c>
      <c r="D3" s="90">
        <f>IF(ISBLANK('Dist. de l''état nutritionnel'!D$11),(1/1.33),((1/1.33)*'Dist. de l''état nutritionnel'!D$11/(1-(1/1.33)*'Dist. de l''état nutritionnel'!D$11))
/ ('Dist. de l''état nutritionnel'!D$11/(1-'Dist. de l''état nutritionnel'!D$11)))</f>
        <v>0.74223003343713645</v>
      </c>
      <c r="E3" s="90">
        <f>IF(ISBLANK('Dist. de l''état nutritionnel'!E$11),(1/1.33),((1/1.33)*'Dist. de l''état nutritionnel'!E$11/(1-(1/1.33)*'Dist. de l''état nutritionnel'!E$11))
/ ('Dist. de l''état nutritionnel'!E$11/(1-'Dist. de l''état nutritionnel'!E$11)))</f>
        <v>0.74111871413081964</v>
      </c>
      <c r="F3" s="90">
        <f>IF(ISBLANK('Dist. de l''état nutritionnel'!F$11),(1/1.33),((1/1.33)*'Dist. de l''état nutritionnel'!F$11/(1-(1/1.33)*'Dist. de l''état nutritionnel'!F$11))
/ ('Dist. de l''état nutritionnel'!F$11/(1-'Dist. de l''état nutritionnel'!F$11)))</f>
        <v>0.74358844637279975</v>
      </c>
      <c r="G3" s="90">
        <f>IF(ISBLANK('Dist. de l''état nutritionnel'!G$11),(1/1.33),((1/1.33)*'Dist. de l''état nutritionnel'!G$11/(1-(1/1.33)*'Dist. de l''état nutritionnel'!G$11))
/ ('Dist. de l''état nutritionnel'!G$11/(1-'Dist. de l''état nutritionnel'!G$11)))</f>
        <v>0.74789666692531021</v>
      </c>
    </row>
    <row r="4" spans="1:7" ht="13" customHeight="1" x14ac:dyDescent="0.3">
      <c r="A4" s="4" t="s">
        <v>326</v>
      </c>
      <c r="B4" s="11"/>
      <c r="C4" s="83"/>
      <c r="D4" s="83"/>
      <c r="E4" s="83"/>
      <c r="F4" s="83"/>
      <c r="G4" s="83"/>
    </row>
    <row r="5" spans="1:7" ht="13.25" customHeight="1" x14ac:dyDescent="0.25">
      <c r="B5" s="5" t="s">
        <v>165</v>
      </c>
      <c r="C5" s="90">
        <v>1</v>
      </c>
      <c r="D5" s="90">
        <f>IF(ISBLANK('Dist. de l''état nutritionnel'!D$10),(1/1.33),((1/1.33)*'Dist. de l''état nutritionnel'!D$10/(1-(1/1.33)*'Dist. de l''état nutritionnel'!D$10))
/ ('Dist. de l''état nutritionnel'!D$10/(1-'Dist. de l''état nutritionnel'!D$10)))</f>
        <v>0.73715466107416072</v>
      </c>
      <c r="E5" s="90">
        <f>IF(ISBLANK('Dist. de l''état nutritionnel'!E$10),(1/1.33),((1/1.33)*'Dist. de l''état nutritionnel'!E$10/(1-(1/1.33)*'Dist. de l''état nutritionnel'!E$10))
/ ('Dist. de l''état nutritionnel'!E$10/(1-'Dist. de l''état nutritionnel'!E$10)))</f>
        <v>0.73034286679623961</v>
      </c>
      <c r="F5" s="90">
        <f>IF(ISBLANK('Dist. de l''état nutritionnel'!F$10),(1/1.33),((1/1.33)*'Dist. de l''état nutritionnel'!F$10/(1-(1/1.33)*'Dist. de l''état nutritionnel'!F$10))
/ ('Dist. de l''état nutritionnel'!F$10/(1-'Dist. de l''état nutritionnel'!F$10)))</f>
        <v>0.73498467969751002</v>
      </c>
      <c r="G5" s="90">
        <f>IF(ISBLANK('Dist. de l''état nutritionnel'!G$10),(1/1.33),((1/1.33)*'Dist. de l''état nutritionnel'!G$10/(1-(1/1.33)*'Dist. de l''état nutritionnel'!G$10))
/ ('Dist. de l''état nutritionnel'!G$10/(1-'Dist. de l''état nutritionnel'!G$10)))</f>
        <v>0.74274785773843588</v>
      </c>
    </row>
    <row r="7" spans="1:7" s="92" customFormat="1" ht="13" customHeight="1" x14ac:dyDescent="0.3">
      <c r="A7" s="92" t="s">
        <v>331</v>
      </c>
    </row>
    <row r="8" spans="1:7" ht="13" customHeight="1" x14ac:dyDescent="0.3">
      <c r="A8" s="4"/>
      <c r="B8" s="1"/>
      <c r="C8" s="4" t="s">
        <v>109</v>
      </c>
      <c r="D8" s="4" t="s">
        <v>96</v>
      </c>
      <c r="E8" s="4" t="s">
        <v>97</v>
      </c>
      <c r="F8" s="4" t="s">
        <v>98</v>
      </c>
      <c r="G8" s="4" t="s">
        <v>99</v>
      </c>
    </row>
    <row r="9" spans="1:7" ht="13" customHeight="1" x14ac:dyDescent="0.3">
      <c r="A9" s="4" t="s">
        <v>327</v>
      </c>
    </row>
    <row r="10" spans="1:7" ht="13.25" customHeight="1" x14ac:dyDescent="0.25">
      <c r="B10" s="11" t="s">
        <v>161</v>
      </c>
      <c r="C10" s="90">
        <v>1</v>
      </c>
      <c r="D10" s="90">
        <f>IF(ISBLANK('Dist. de l''état nutritionnel'!D$11),(1/1.54),((1/1.54)*'Dist. de l''état nutritionnel'!D$11/(1-(1/1.54)*'Dist. de l''état nutritionnel'!D$11))
/ ('Dist. de l''état nutritionnel'!D$11/(1-'Dist. de l''état nutritionnel'!D$11)))</f>
        <v>0.63763525767751372</v>
      </c>
      <c r="E10" s="90">
        <f>IF(ISBLANK('Dist. de l''état nutritionnel'!E$11),(1/1.54),((1/1.54)*'Dist. de l''état nutritionnel'!E$11/(1-(1/1.54)*'Dist. de l''état nutritionnel'!E$11))
/ ('Dist. de l''état nutritionnel'!E$11/(1-'Dist. de l''état nutritionnel'!E$11)))</f>
        <v>0.63629396823825135</v>
      </c>
      <c r="F10" s="90">
        <f>IF(ISBLANK('Dist. de l''état nutritionnel'!F$11),(1/1.54),((1/1.54)*'Dist. de l''état nutritionnel'!F$11/(1-(1/1.54)*'Dist. de l''état nutritionnel'!F$11))
/ ('Dist. de l''état nutritionnel'!F$11/(1-'Dist. de l''état nutritionnel'!F$11)))</f>
        <v>0.63927698817682233</v>
      </c>
      <c r="G10" s="90">
        <f>IF(ISBLANK('Dist. de l''état nutritionnel'!G$11),(1/1.54),((1/1.54)*'Dist. de l''état nutritionnel'!G$11/(1-(1/1.54)*'Dist. de l''état nutritionnel'!G$11))
/ ('Dist. de l''état nutritionnel'!G$11/(1-'Dist. de l''état nutritionnel'!G$11)))</f>
        <v>0.64449993333282463</v>
      </c>
    </row>
    <row r="11" spans="1:7" ht="13" customHeight="1" x14ac:dyDescent="0.3">
      <c r="A11" s="4" t="s">
        <v>328</v>
      </c>
      <c r="B11" s="11"/>
      <c r="C11" s="83"/>
      <c r="D11" s="83"/>
      <c r="E11" s="83"/>
      <c r="F11" s="83"/>
      <c r="G11" s="83"/>
    </row>
    <row r="12" spans="1:7" ht="13.25" customHeight="1" x14ac:dyDescent="0.25">
      <c r="B12" s="5" t="s">
        <v>165</v>
      </c>
      <c r="C12" s="90">
        <v>1</v>
      </c>
      <c r="D12" s="90">
        <f>IF(ISBLANK('Dist. de l''état nutritionnel'!D$10),(1/1.54),((1/1.54)*'Dist. de l''état nutritionnel'!D$10/(1-(1/1.54)*'Dist. de l''état nutritionnel'!D$10))
/ ('Dist. de l''état nutritionnel'!D$10/(1-'Dist. de l''état nutritionnel'!D$10)))</f>
        <v>0.63152285459365376</v>
      </c>
      <c r="E12" s="90">
        <f>IF(ISBLANK('Dist. de l''état nutritionnel'!E$10),(1/1.54),((1/1.54)*'Dist. de l''état nutritionnel'!E$10/(1-(1/1.54)*'Dist. de l''état nutritionnel'!E$10))
/ ('Dist. de l''état nutritionnel'!E$10/(1-'Dist. de l''état nutritionnel'!E$10)))</f>
        <v>0.62337220094371226</v>
      </c>
      <c r="F12" s="90">
        <f>IF(ISBLANK('Dist. de l''état nutritionnel'!F$10),(1/1.54),((1/1.54)*'Dist. de l''état nutritionnel'!F$10/(1-(1/1.54)*'Dist. de l''état nutritionnel'!F$10))
/ ('Dist. de l''état nutritionnel'!F$10/(1-'Dist. de l''état nutritionnel'!F$10)))</f>
        <v>0.62891980007635606</v>
      </c>
      <c r="G12" s="90">
        <f>IF(ISBLANK('Dist. de l''état nutritionnel'!G$10),(1/1.54),((1/1.54)*'Dist. de l''état nutritionnel'!G$10/(1-(1/1.54)*'Dist. de l''état nutritionnel'!G$10))
/ ('Dist. de l''état nutritionnel'!G$10/(1-'Dist. de l''état nutritionnel'!G$10)))</f>
        <v>0.63826079439656414</v>
      </c>
    </row>
    <row r="14" spans="1:7" s="92" customFormat="1" ht="13" customHeight="1" x14ac:dyDescent="0.3">
      <c r="A14" s="92" t="s">
        <v>332</v>
      </c>
    </row>
    <row r="15" spans="1:7" ht="13" customHeight="1" x14ac:dyDescent="0.3">
      <c r="A15" s="4"/>
      <c r="B15" s="1"/>
      <c r="C15" s="4" t="s">
        <v>109</v>
      </c>
      <c r="D15" s="4" t="s">
        <v>96</v>
      </c>
      <c r="E15" s="4" t="s">
        <v>97</v>
      </c>
      <c r="F15" s="4" t="s">
        <v>98</v>
      </c>
      <c r="G15" s="4" t="s">
        <v>99</v>
      </c>
    </row>
    <row r="16" spans="1:7" ht="13" customHeight="1" x14ac:dyDescent="0.3">
      <c r="A16" s="4" t="s">
        <v>329</v>
      </c>
    </row>
    <row r="17" spans="1:7" ht="13.25" customHeight="1" x14ac:dyDescent="0.25">
      <c r="B17" s="11" t="s">
        <v>161</v>
      </c>
      <c r="C17" s="90">
        <v>1</v>
      </c>
      <c r="D17" s="90">
        <f>IF(ISBLANK('Dist. de l''état nutritionnel'!D$11),(1/1.16),((1/1.16)*'Dist. de l''état nutritionnel'!D$11/(1-(1/1.16)*'Dist. de l''état nutritionnel'!D$11))
/ ('Dist. de l''état nutritionnel'!D$11/(1-'Dist. de l''état nutritionnel'!D$11)))</f>
        <v>0.85588327788139118</v>
      </c>
      <c r="E17" s="90">
        <f>IF(ISBLANK('Dist. de l''état nutritionnel'!E$11),(1/1.16),((1/1.16)*'Dist. de l''état nutritionnel'!E$11/(1-(1/1.16)*'Dist. de l''état nutritionnel'!E$11))
/ ('Dist. de l''état nutritionnel'!E$11/(1-'Dist. de l''état nutritionnel'!E$11)))</f>
        <v>0.85516633635470507</v>
      </c>
      <c r="F17" s="90">
        <f>IF(ISBLANK('Dist. de l''état nutritionnel'!F$11),(1/1.16),((1/1.16)*'Dist. de l''état nutritionnel'!F$11/(1-(1/1.16)*'Dist. de l''état nutritionnel'!F$11))
/ ('Dist. de l''état nutritionnel'!F$11/(1-'Dist. de l''état nutritionnel'!F$11)))</f>
        <v>0.85675834139744522</v>
      </c>
      <c r="G17" s="90">
        <f>IF(ISBLANK('Dist. de l''état nutritionnel'!G$11),(1/1.16),((1/1.16)*'Dist. de l''état nutritionnel'!G$11/(1-(1/1.16)*'Dist. de l''état nutritionnel'!G$11))
/ ('Dist. de l''état nutritionnel'!G$11/(1-'Dist. de l''état nutritionnel'!G$11)))</f>
        <v>0.85952430360946186</v>
      </c>
    </row>
    <row r="18" spans="1:7" ht="13" customHeight="1" x14ac:dyDescent="0.3">
      <c r="A18" s="4" t="s">
        <v>330</v>
      </c>
      <c r="B18" s="11"/>
      <c r="C18" s="83"/>
      <c r="D18" s="83"/>
      <c r="E18" s="83"/>
      <c r="F18" s="83"/>
      <c r="G18" s="83"/>
    </row>
    <row r="19" spans="1:7" ht="13.25" customHeight="1" x14ac:dyDescent="0.25">
      <c r="B19" s="5" t="s">
        <v>165</v>
      </c>
      <c r="C19" s="90">
        <v>1</v>
      </c>
      <c r="D19" s="90">
        <f>IF(ISBLANK('Dist. de l''état nutritionnel'!D$10),(1/1.16),((1/1.16)*'Dist. de l''état nutritionnel'!D$10/(1-(1/1.16)*'Dist. de l''état nutritionnel'!D$10))
/ ('Dist. de l''état nutritionnel'!D$10/(1-'Dist. de l''état nutritionnel'!D$10)))</f>
        <v>0.85260128723480499</v>
      </c>
      <c r="E19" s="90">
        <f>IF(ISBLANK('Dist. de l''état nutritionnel'!E$10),(1/1.16),((1/1.16)*'Dist. de l''état nutritionnel'!E$10/(1-(1/1.16)*'Dist. de l''état nutritionnel'!E$10))
/ ('Dist. de l''état nutritionnel'!E$10/(1-'Dist. de l''état nutritionnel'!E$10)))</f>
        <v>0.84816511348604284</v>
      </c>
      <c r="F19" s="90">
        <f>IF(ISBLANK('Dist. de l''état nutritionnel'!F$10),(1/1.16),((1/1.16)*'Dist. de l''état nutritionnel'!F$10/(1-(1/1.16)*'Dist. de l''état nutritionnel'!F$10))
/ ('Dist. de l''état nutritionnel'!F$10/(1-'Dist. de l''état nutritionnel'!F$10)))</f>
        <v>0.85119200276680618</v>
      </c>
      <c r="G19" s="90">
        <f>IF(ISBLANK('Dist. de l''état nutritionnel'!G$10),(1/1.16),((1/1.16)*'Dist. de l''état nutritionnel'!G$10/(1-(1/1.16)*'Dist. de l''état nutritionnel'!G$10))
/ ('Dist. de l''état nutritionnel'!G$10/(1-'Dist. de l''état nutritionnel'!G$10)))</f>
        <v>0.85621701686227325</v>
      </c>
    </row>
  </sheetData>
  <sheetProtection algorithmName="SHA-512" hashValue="Uzu6PF2pocXj44ZKKciZTNKJe2vLGTObAZ0yXlNJja2McelC9yA2xnqr1EB73IPdGEHWXBEn1aYls0oEP7pboQ==" saltValue="TTgYSIvqgDuyCOJnBRVu/w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zoomScale="80" zoomScaleNormal="80" workbookViewId="0">
      <selection activeCell="E28" sqref="E28"/>
    </sheetView>
  </sheetViews>
  <sheetFormatPr defaultColWidth="12.81640625" defaultRowHeight="12.5" x14ac:dyDescent="0.25"/>
  <cols>
    <col min="1" max="1" width="53" style="5" customWidth="1"/>
    <col min="2" max="2" width="30.54296875" style="5" customWidth="1"/>
    <col min="3" max="3" width="24.81640625" style="5" customWidth="1"/>
    <col min="4" max="4" width="15" style="8" customWidth="1"/>
    <col min="5" max="5" width="13.6328125" style="8" customWidth="1"/>
    <col min="6" max="6" width="14.453125" style="8" customWidth="1"/>
    <col min="7" max="7" width="12.81640625" style="8" customWidth="1"/>
    <col min="8" max="8" width="17.54296875" style="8" customWidth="1"/>
    <col min="9" max="9" width="12.81640625" style="8" customWidth="1"/>
    <col min="10" max="16384" width="12.81640625" style="8"/>
  </cols>
  <sheetData>
    <row r="1" spans="1:8" ht="13" customHeight="1" x14ac:dyDescent="0.3">
      <c r="A1" s="4" t="s">
        <v>160</v>
      </c>
      <c r="B1" s="4" t="s">
        <v>333</v>
      </c>
      <c r="C1" s="82" t="s">
        <v>12</v>
      </c>
      <c r="D1" s="4" t="s">
        <v>109</v>
      </c>
      <c r="E1" s="4" t="s">
        <v>96</v>
      </c>
      <c r="F1" s="4" t="s">
        <v>97</v>
      </c>
      <c r="G1" s="4" t="s">
        <v>98</v>
      </c>
      <c r="H1" s="4" t="s">
        <v>99</v>
      </c>
    </row>
    <row r="2" spans="1:8" ht="13.25" customHeight="1" x14ac:dyDescent="0.25">
      <c r="A2" s="5" t="s">
        <v>193</v>
      </c>
      <c r="B2" s="5" t="s">
        <v>87</v>
      </c>
      <c r="C2" s="5" t="s">
        <v>334</v>
      </c>
      <c r="D2" s="90">
        <v>0</v>
      </c>
      <c r="E2" s="90">
        <v>0</v>
      </c>
      <c r="F2" s="90">
        <v>1</v>
      </c>
      <c r="G2" s="90">
        <v>1</v>
      </c>
      <c r="H2" s="90">
        <v>1</v>
      </c>
    </row>
    <row r="3" spans="1:8" ht="13.25" customHeight="1" x14ac:dyDescent="0.25">
      <c r="C3" s="5" t="s">
        <v>335</v>
      </c>
      <c r="D3" s="90">
        <v>0</v>
      </c>
      <c r="E3" s="90">
        <v>0</v>
      </c>
      <c r="F3" s="90">
        <v>0.12</v>
      </c>
      <c r="G3" s="90">
        <v>0.12</v>
      </c>
      <c r="H3" s="90">
        <v>0.12</v>
      </c>
    </row>
    <row r="4" spans="1:8" ht="13.25" customHeight="1" x14ac:dyDescent="0.25">
      <c r="C4" s="5" t="s">
        <v>336</v>
      </c>
      <c r="D4" s="90">
        <v>0</v>
      </c>
      <c r="E4" s="90">
        <v>0</v>
      </c>
      <c r="F4" s="90">
        <v>0.15</v>
      </c>
      <c r="G4" s="90">
        <v>0.15</v>
      </c>
      <c r="H4" s="90">
        <v>0.15</v>
      </c>
    </row>
    <row r="5" spans="1:8" ht="13.25" customHeight="1" x14ac:dyDescent="0.25">
      <c r="A5" s="5" t="s">
        <v>192</v>
      </c>
      <c r="B5" s="5" t="s">
        <v>208</v>
      </c>
      <c r="C5" s="5" t="s">
        <v>334</v>
      </c>
      <c r="D5" s="90">
        <v>0</v>
      </c>
      <c r="E5" s="90">
        <v>0</v>
      </c>
      <c r="F5" s="90">
        <v>1</v>
      </c>
      <c r="G5" s="90">
        <v>1</v>
      </c>
      <c r="H5" s="90">
        <v>0</v>
      </c>
    </row>
    <row r="6" spans="1:8" ht="13.25" customHeight="1" x14ac:dyDescent="0.25">
      <c r="C6" s="5" t="s">
        <v>336</v>
      </c>
      <c r="D6" s="90">
        <v>0</v>
      </c>
      <c r="E6" s="90">
        <v>0</v>
      </c>
      <c r="F6" s="90">
        <v>0</v>
      </c>
      <c r="G6" s="90">
        <v>0</v>
      </c>
      <c r="H6" s="90">
        <v>0</v>
      </c>
    </row>
    <row r="7" spans="1:8" ht="13.25" customHeight="1" x14ac:dyDescent="0.25">
      <c r="B7" s="5" t="s">
        <v>209</v>
      </c>
      <c r="C7" s="5" t="s">
        <v>334</v>
      </c>
      <c r="D7" s="90">
        <v>0</v>
      </c>
      <c r="E7" s="90">
        <v>0</v>
      </c>
      <c r="F7" s="90">
        <v>1</v>
      </c>
      <c r="G7" s="90">
        <v>1</v>
      </c>
      <c r="H7" s="90">
        <v>0</v>
      </c>
    </row>
    <row r="8" spans="1:8" ht="13.25" customHeight="1" x14ac:dyDescent="0.25">
      <c r="C8" s="5" t="s">
        <v>336</v>
      </c>
      <c r="D8" s="90">
        <v>0</v>
      </c>
      <c r="E8" s="90">
        <v>0</v>
      </c>
      <c r="F8" s="90">
        <v>0</v>
      </c>
      <c r="G8" s="90">
        <v>0</v>
      </c>
      <c r="H8" s="90">
        <v>0</v>
      </c>
    </row>
    <row r="9" spans="1:8" ht="13.25" customHeight="1" x14ac:dyDescent="0.25">
      <c r="A9" s="5" t="s">
        <v>185</v>
      </c>
      <c r="B9" s="5" t="s">
        <v>208</v>
      </c>
      <c r="C9" s="5" t="s">
        <v>334</v>
      </c>
      <c r="D9" s="90">
        <v>0</v>
      </c>
      <c r="E9" s="90">
        <v>0</v>
      </c>
      <c r="F9" s="90">
        <v>1</v>
      </c>
      <c r="G9" s="90">
        <v>1</v>
      </c>
      <c r="H9" s="90">
        <v>0</v>
      </c>
    </row>
    <row r="10" spans="1:8" ht="13.25" customHeight="1" x14ac:dyDescent="0.25">
      <c r="C10" s="5" t="s">
        <v>336</v>
      </c>
      <c r="D10" s="90">
        <v>0</v>
      </c>
      <c r="E10" s="90">
        <v>0</v>
      </c>
      <c r="F10" s="90">
        <v>0</v>
      </c>
      <c r="G10" s="90">
        <v>0</v>
      </c>
      <c r="H10" s="90">
        <v>0</v>
      </c>
    </row>
    <row r="11" spans="1:8" ht="13.25" customHeight="1" x14ac:dyDescent="0.25">
      <c r="B11" s="5" t="s">
        <v>209</v>
      </c>
      <c r="C11" s="5" t="s">
        <v>334</v>
      </c>
      <c r="D11" s="90">
        <v>0</v>
      </c>
      <c r="E11" s="90">
        <v>0</v>
      </c>
      <c r="F11" s="90">
        <v>1</v>
      </c>
      <c r="G11" s="90">
        <v>1</v>
      </c>
      <c r="H11" s="90">
        <v>0</v>
      </c>
    </row>
    <row r="12" spans="1:8" ht="13.25" customHeight="1" x14ac:dyDescent="0.25">
      <c r="C12" s="5" t="s">
        <v>336</v>
      </c>
      <c r="D12" s="90">
        <v>0</v>
      </c>
      <c r="E12" s="90">
        <v>0</v>
      </c>
      <c r="F12" s="90">
        <v>0</v>
      </c>
      <c r="G12" s="90">
        <v>0</v>
      </c>
      <c r="H12" s="90">
        <v>0</v>
      </c>
    </row>
    <row r="13" spans="1:8" ht="13.25" customHeight="1" x14ac:dyDescent="0.25">
      <c r="A13" s="5" t="s">
        <v>205</v>
      </c>
      <c r="B13" s="5" t="s">
        <v>208</v>
      </c>
      <c r="C13" s="5" t="s">
        <v>334</v>
      </c>
      <c r="D13" s="90">
        <v>0</v>
      </c>
      <c r="E13" s="90">
        <v>0</v>
      </c>
      <c r="F13" s="90">
        <v>1</v>
      </c>
      <c r="G13" s="90">
        <v>1</v>
      </c>
      <c r="H13" s="90">
        <v>0</v>
      </c>
    </row>
    <row r="14" spans="1:8" ht="13.25" customHeight="1" x14ac:dyDescent="0.25">
      <c r="C14" s="5" t="s">
        <v>336</v>
      </c>
      <c r="D14" s="90">
        <v>0</v>
      </c>
      <c r="E14" s="90">
        <v>0</v>
      </c>
      <c r="F14" s="90">
        <v>0.31</v>
      </c>
      <c r="G14" s="90">
        <v>0.31</v>
      </c>
      <c r="H14" s="90">
        <v>0</v>
      </c>
    </row>
    <row r="15" spans="1:8" ht="13.25" customHeight="1" x14ac:dyDescent="0.25">
      <c r="B15" s="5" t="s">
        <v>209</v>
      </c>
      <c r="C15" s="5" t="s">
        <v>334</v>
      </c>
      <c r="D15" s="90">
        <v>0</v>
      </c>
      <c r="E15" s="90">
        <v>0</v>
      </c>
      <c r="F15" s="90">
        <v>1</v>
      </c>
      <c r="G15" s="90">
        <v>1</v>
      </c>
      <c r="H15" s="90">
        <v>0</v>
      </c>
    </row>
    <row r="16" spans="1:8" ht="13.25" customHeight="1" x14ac:dyDescent="0.25">
      <c r="C16" s="5" t="s">
        <v>336</v>
      </c>
      <c r="D16" s="90">
        <v>0</v>
      </c>
      <c r="E16" s="90">
        <v>0</v>
      </c>
      <c r="F16" s="90">
        <v>0.14000000000000001</v>
      </c>
      <c r="G16" s="90">
        <v>0.14000000000000001</v>
      </c>
      <c r="H16" s="90">
        <v>0</v>
      </c>
    </row>
    <row r="17" spans="1:8" ht="13.25" customHeight="1" x14ac:dyDescent="0.25">
      <c r="A17" s="5" t="s">
        <v>170</v>
      </c>
      <c r="B17" s="5" t="s">
        <v>208</v>
      </c>
      <c r="C17" s="5" t="s">
        <v>334</v>
      </c>
      <c r="D17" s="90">
        <v>0</v>
      </c>
      <c r="E17" s="90">
        <v>0</v>
      </c>
      <c r="F17" s="90">
        <v>1</v>
      </c>
      <c r="G17" s="90">
        <v>1</v>
      </c>
      <c r="H17" s="90">
        <v>1</v>
      </c>
    </row>
    <row r="18" spans="1:8" ht="13.25" customHeight="1" x14ac:dyDescent="0.25">
      <c r="C18" s="5" t="s">
        <v>336</v>
      </c>
      <c r="D18" s="90">
        <v>0</v>
      </c>
      <c r="E18" s="90">
        <v>0</v>
      </c>
      <c r="F18" s="90">
        <v>0.68</v>
      </c>
      <c r="G18" s="90">
        <v>0.68</v>
      </c>
      <c r="H18" s="90">
        <v>0.68</v>
      </c>
    </row>
    <row r="19" spans="1:8" ht="13.25" customHeight="1" x14ac:dyDescent="0.25">
      <c r="B19" s="5" t="s">
        <v>209</v>
      </c>
      <c r="C19" s="5" t="s">
        <v>334</v>
      </c>
      <c r="D19" s="90">
        <v>0</v>
      </c>
      <c r="E19" s="90">
        <v>0</v>
      </c>
      <c r="F19" s="90">
        <v>1</v>
      </c>
      <c r="G19" s="90">
        <v>1</v>
      </c>
      <c r="H19" s="90">
        <v>1</v>
      </c>
    </row>
    <row r="20" spans="1:8" ht="13.25" customHeight="1" x14ac:dyDescent="0.25">
      <c r="C20" s="5" t="s">
        <v>336</v>
      </c>
      <c r="D20" s="90">
        <v>0</v>
      </c>
      <c r="E20" s="90">
        <v>0</v>
      </c>
      <c r="F20" s="90">
        <v>0.6</v>
      </c>
      <c r="G20" s="90">
        <v>0.6</v>
      </c>
      <c r="H20" s="90">
        <v>0.6</v>
      </c>
    </row>
    <row r="21" spans="1:8" ht="13.25" customHeight="1" x14ac:dyDescent="0.25">
      <c r="A21" s="5" t="s">
        <v>175</v>
      </c>
      <c r="B21" s="5" t="s">
        <v>84</v>
      </c>
      <c r="C21" s="5" t="s">
        <v>334</v>
      </c>
      <c r="D21" s="90">
        <v>1</v>
      </c>
      <c r="E21" s="90">
        <v>0</v>
      </c>
      <c r="F21" s="90">
        <v>0</v>
      </c>
      <c r="G21" s="90">
        <v>0</v>
      </c>
      <c r="H21" s="90">
        <v>0</v>
      </c>
    </row>
    <row r="22" spans="1:8" ht="13.25" customHeight="1" x14ac:dyDescent="0.25">
      <c r="C22" s="5" t="s">
        <v>335</v>
      </c>
      <c r="D22" s="90">
        <v>0.13</v>
      </c>
      <c r="E22" s="90">
        <v>0</v>
      </c>
      <c r="F22" s="90">
        <v>0</v>
      </c>
      <c r="G22" s="90">
        <v>0</v>
      </c>
      <c r="H22" s="90">
        <v>0</v>
      </c>
    </row>
    <row r="23" spans="1:8" ht="13.25" customHeight="1" x14ac:dyDescent="0.25">
      <c r="A23" s="5" t="s">
        <v>173</v>
      </c>
      <c r="B23" s="5" t="s">
        <v>84</v>
      </c>
      <c r="C23" s="5" t="s">
        <v>334</v>
      </c>
      <c r="D23" s="90">
        <v>1</v>
      </c>
      <c r="E23" s="90">
        <v>0</v>
      </c>
      <c r="F23" s="90">
        <v>0</v>
      </c>
      <c r="G23" s="90">
        <v>0</v>
      </c>
      <c r="H23" s="90">
        <v>0</v>
      </c>
    </row>
    <row r="24" spans="1:8" ht="13.25" customHeight="1" x14ac:dyDescent="0.25">
      <c r="C24" s="5" t="s">
        <v>335</v>
      </c>
      <c r="D24" s="90">
        <v>0.13</v>
      </c>
      <c r="E24" s="90">
        <v>0</v>
      </c>
      <c r="F24" s="90">
        <v>0</v>
      </c>
      <c r="G24" s="90">
        <v>0</v>
      </c>
      <c r="H24" s="90">
        <v>0</v>
      </c>
    </row>
    <row r="25" spans="1:8" ht="13.25" customHeight="1" x14ac:dyDescent="0.25">
      <c r="A25" s="5" t="s">
        <v>174</v>
      </c>
      <c r="B25" s="5" t="s">
        <v>84</v>
      </c>
      <c r="C25" s="5" t="s">
        <v>334</v>
      </c>
      <c r="D25" s="90">
        <v>1</v>
      </c>
      <c r="E25" s="90">
        <v>0</v>
      </c>
      <c r="F25" s="90">
        <v>0</v>
      </c>
      <c r="G25" s="90">
        <v>0</v>
      </c>
      <c r="H25" s="90">
        <v>0</v>
      </c>
    </row>
    <row r="26" spans="1:8" ht="13.25" customHeight="1" x14ac:dyDescent="0.25">
      <c r="C26" s="5" t="s">
        <v>335</v>
      </c>
      <c r="D26" s="90">
        <v>0.13</v>
      </c>
      <c r="E26" s="90">
        <v>0</v>
      </c>
      <c r="F26" s="90">
        <v>0</v>
      </c>
      <c r="G26" s="90">
        <v>0</v>
      </c>
      <c r="H26" s="90">
        <v>0</v>
      </c>
    </row>
    <row r="27" spans="1:8" ht="13.25" customHeight="1" x14ac:dyDescent="0.25">
      <c r="A27" s="5" t="s">
        <v>197</v>
      </c>
      <c r="B27" s="5" t="s">
        <v>87</v>
      </c>
      <c r="C27" s="5" t="s">
        <v>334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ht="13.25" customHeight="1" x14ac:dyDescent="0.25">
      <c r="C28" s="5" t="s">
        <v>335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ht="13.25" customHeight="1" x14ac:dyDescent="0.25">
      <c r="C29" s="5" t="s">
        <v>336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ht="13.25" customHeight="1" x14ac:dyDescent="0.25">
      <c r="A30" s="5" t="s">
        <v>198</v>
      </c>
      <c r="B30" s="5" t="s">
        <v>87</v>
      </c>
      <c r="C30" s="5" t="s">
        <v>334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ht="13.25" customHeight="1" x14ac:dyDescent="0.25">
      <c r="C31" s="5" t="s">
        <v>335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ht="13.25" customHeight="1" x14ac:dyDescent="0.25">
      <c r="C32" s="5" t="s">
        <v>336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ht="13.25" customHeight="1" x14ac:dyDescent="0.25">
      <c r="A33" s="5" t="s">
        <v>196</v>
      </c>
      <c r="B33" s="5" t="s">
        <v>87</v>
      </c>
      <c r="C33" s="5" t="s">
        <v>334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ht="13.25" customHeight="1" x14ac:dyDescent="0.25">
      <c r="C34" s="5" t="s">
        <v>335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ht="13.25" customHeight="1" x14ac:dyDescent="0.25">
      <c r="C35" s="5" t="s">
        <v>336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ht="13.25" customHeight="1" x14ac:dyDescent="0.25">
      <c r="A36" s="5" t="s">
        <v>195</v>
      </c>
      <c r="B36" s="5" t="s">
        <v>87</v>
      </c>
      <c r="C36" s="5" t="s">
        <v>334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ht="13.25" customHeight="1" x14ac:dyDescent="0.25">
      <c r="C37" s="5" t="s">
        <v>335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ht="13.25" customHeight="1" x14ac:dyDescent="0.25">
      <c r="C38" s="5" t="s">
        <v>336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ht="13.25" customHeight="1" x14ac:dyDescent="0.25">
      <c r="A39" s="5" t="s">
        <v>194</v>
      </c>
      <c r="B39" s="5" t="s">
        <v>87</v>
      </c>
      <c r="C39" s="5" t="s">
        <v>334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ht="13.25" customHeight="1" x14ac:dyDescent="0.25">
      <c r="C40" s="5" t="s">
        <v>335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ht="13.25" customHeight="1" x14ac:dyDescent="0.25">
      <c r="C41" s="5" t="s">
        <v>336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ht="13.25" customHeight="1" x14ac:dyDescent="0.25">
      <c r="A42" s="5" t="s">
        <v>200</v>
      </c>
      <c r="B42" s="5" t="s">
        <v>87</v>
      </c>
      <c r="C42" s="5" t="s">
        <v>334</v>
      </c>
      <c r="D42" s="90">
        <v>0</v>
      </c>
      <c r="E42" s="90">
        <v>1</v>
      </c>
      <c r="F42" s="90">
        <v>1</v>
      </c>
      <c r="G42" s="90">
        <v>1</v>
      </c>
      <c r="H42" s="90">
        <v>1</v>
      </c>
    </row>
    <row r="43" spans="1:8" ht="13.25" customHeight="1" x14ac:dyDescent="0.25">
      <c r="C43" s="5" t="s">
        <v>335</v>
      </c>
      <c r="D43" s="90">
        <v>0</v>
      </c>
      <c r="E43" s="90">
        <v>0</v>
      </c>
      <c r="F43" s="90">
        <v>0</v>
      </c>
      <c r="G43" s="90">
        <v>0</v>
      </c>
      <c r="H43" s="90">
        <v>0</v>
      </c>
    </row>
    <row r="44" spans="1:8" ht="13.25" customHeight="1" x14ac:dyDescent="0.25">
      <c r="C44" s="5" t="s">
        <v>336</v>
      </c>
      <c r="D44" s="90">
        <v>0.09</v>
      </c>
      <c r="E44" s="90">
        <v>0.09</v>
      </c>
      <c r="F44" s="90">
        <v>0.09</v>
      </c>
      <c r="G44" s="90">
        <v>0.09</v>
      </c>
      <c r="H44" s="90">
        <v>0.09</v>
      </c>
    </row>
    <row r="45" spans="1:8" ht="13.25" customHeight="1" x14ac:dyDescent="0.25">
      <c r="B45" s="5" t="s">
        <v>88</v>
      </c>
      <c r="C45" s="5" t="s">
        <v>334</v>
      </c>
      <c r="D45" s="90">
        <v>0</v>
      </c>
      <c r="E45" s="90">
        <v>1</v>
      </c>
      <c r="F45" s="90">
        <v>1</v>
      </c>
      <c r="G45" s="90">
        <v>1</v>
      </c>
      <c r="H45" s="90">
        <v>1</v>
      </c>
    </row>
    <row r="46" spans="1:8" ht="13.25" customHeight="1" x14ac:dyDescent="0.25">
      <c r="C46" s="5" t="s">
        <v>335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</row>
    <row r="47" spans="1:8" ht="13.25" customHeight="1" x14ac:dyDescent="0.25">
      <c r="C47" s="5" t="s">
        <v>336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</row>
    <row r="48" spans="1:8" ht="13.25" customHeight="1" x14ac:dyDescent="0.25">
      <c r="A48" s="5" t="s">
        <v>191</v>
      </c>
      <c r="B48" s="5" t="s">
        <v>87</v>
      </c>
      <c r="C48" s="5" t="s">
        <v>334</v>
      </c>
      <c r="D48" s="90">
        <v>1</v>
      </c>
      <c r="E48" s="90">
        <v>1</v>
      </c>
      <c r="F48" s="90">
        <v>1</v>
      </c>
      <c r="G48" s="90">
        <v>1</v>
      </c>
      <c r="H48" s="90">
        <v>1</v>
      </c>
    </row>
    <row r="49" spans="1:8" ht="13.25" customHeight="1" x14ac:dyDescent="0.25">
      <c r="C49" s="5" t="s">
        <v>335</v>
      </c>
      <c r="D49" s="90">
        <v>0.69</v>
      </c>
      <c r="E49" s="90">
        <v>0.69</v>
      </c>
      <c r="F49" s="90">
        <v>0.69</v>
      </c>
      <c r="G49" s="90">
        <v>0.69</v>
      </c>
      <c r="H49" s="90">
        <v>0.69</v>
      </c>
    </row>
    <row r="50" spans="1:8" ht="13.25" customHeight="1" x14ac:dyDescent="0.25">
      <c r="A50" s="5" t="s">
        <v>199</v>
      </c>
      <c r="B50" s="5" t="s">
        <v>87</v>
      </c>
      <c r="C50" s="5" t="s">
        <v>334</v>
      </c>
      <c r="D50" s="90">
        <v>1</v>
      </c>
      <c r="E50" s="90">
        <v>1</v>
      </c>
      <c r="F50" s="90">
        <v>1</v>
      </c>
      <c r="G50" s="90">
        <v>1</v>
      </c>
      <c r="H50" s="90">
        <v>1</v>
      </c>
    </row>
    <row r="51" spans="1:8" ht="13.25" customHeight="1" x14ac:dyDescent="0.25">
      <c r="C51" s="5" t="s">
        <v>335</v>
      </c>
      <c r="D51" s="90">
        <v>0.76</v>
      </c>
      <c r="E51" s="90">
        <v>0.76</v>
      </c>
      <c r="F51" s="90">
        <v>0.76</v>
      </c>
      <c r="G51" s="90">
        <v>0.76</v>
      </c>
      <c r="H51" s="90">
        <v>0.76</v>
      </c>
    </row>
    <row r="52" spans="1:8" ht="13.25" customHeight="1" x14ac:dyDescent="0.25">
      <c r="A52" s="5" t="s">
        <v>184</v>
      </c>
      <c r="B52" s="5" t="s">
        <v>82</v>
      </c>
      <c r="C52" s="5" t="s">
        <v>334</v>
      </c>
      <c r="D52" s="90">
        <v>1</v>
      </c>
      <c r="E52" s="90">
        <v>0</v>
      </c>
      <c r="F52" s="90">
        <v>0</v>
      </c>
      <c r="G52" s="90">
        <v>0</v>
      </c>
      <c r="H52" s="90">
        <v>0</v>
      </c>
    </row>
    <row r="53" spans="1:8" ht="13.25" customHeight="1" x14ac:dyDescent="0.25">
      <c r="C53" s="5" t="s">
        <v>335</v>
      </c>
      <c r="D53" s="90">
        <v>0.51</v>
      </c>
      <c r="E53" s="90">
        <v>0</v>
      </c>
      <c r="F53" s="90">
        <v>0</v>
      </c>
      <c r="G53" s="90">
        <v>0</v>
      </c>
      <c r="H53" s="90">
        <v>0</v>
      </c>
    </row>
    <row r="55" spans="1:8" s="93" customFormat="1" ht="13" customHeight="1" x14ac:dyDescent="0.3">
      <c r="A55" s="96" t="s">
        <v>331</v>
      </c>
      <c r="B55" s="97"/>
      <c r="C55" s="97"/>
    </row>
    <row r="56" spans="1:8" ht="13" customHeight="1" x14ac:dyDescent="0.3">
      <c r="A56" s="4" t="s">
        <v>160</v>
      </c>
      <c r="B56" s="4" t="s">
        <v>333</v>
      </c>
      <c r="C56" s="82" t="s">
        <v>12</v>
      </c>
      <c r="D56" s="4" t="s">
        <v>109</v>
      </c>
      <c r="E56" s="4" t="s">
        <v>96</v>
      </c>
      <c r="F56" s="4" t="s">
        <v>97</v>
      </c>
      <c r="G56" s="4" t="s">
        <v>98</v>
      </c>
      <c r="H56" s="4" t="s">
        <v>99</v>
      </c>
    </row>
    <row r="57" spans="1:8" ht="13.25" customHeight="1" x14ac:dyDescent="0.25">
      <c r="A57" s="5" t="s">
        <v>193</v>
      </c>
      <c r="B57" s="5" t="s">
        <v>87</v>
      </c>
      <c r="C57" s="5" t="s">
        <v>334</v>
      </c>
      <c r="D57" s="90">
        <f>IF($C2="Affected fraction",D2,IF(D2=1,1,D2*0.9))</f>
        <v>0</v>
      </c>
      <c r="E57" s="90">
        <f>IF($C2="Affected fraction",E2,IF(E2=1,1,E2*0.9))</f>
        <v>0</v>
      </c>
      <c r="F57" s="90">
        <f>IF($C2="Affected fraction",F2,IF(F2=1,1,F2*0.9))</f>
        <v>1</v>
      </c>
      <c r="G57" s="90">
        <f>IF($C2="Affected fraction",G2,IF(G2=1,1,G2*0.9))</f>
        <v>1</v>
      </c>
      <c r="H57" s="90">
        <f>IF($C2="Affected fraction",H2,IF(H2=1,1,H2*0.9))</f>
        <v>1</v>
      </c>
    </row>
    <row r="58" spans="1:8" ht="13.25" customHeight="1" x14ac:dyDescent="0.25">
      <c r="C58" s="5" t="s">
        <v>335</v>
      </c>
      <c r="D58" s="90">
        <f>IF($C3="Affected fraction",D3,IF(D3=1,1,D3*0.9))</f>
        <v>0</v>
      </c>
      <c r="E58" s="90">
        <f>IF($C3="Affected fraction",E3,IF(E3=1,1,E3*0.9))</f>
        <v>0</v>
      </c>
      <c r="F58" s="90">
        <v>0.02</v>
      </c>
      <c r="G58" s="90">
        <v>0.02</v>
      </c>
      <c r="H58" s="90">
        <v>0.02</v>
      </c>
    </row>
    <row r="59" spans="1:8" ht="13.25" customHeight="1" x14ac:dyDescent="0.25">
      <c r="C59" s="5" t="s">
        <v>336</v>
      </c>
      <c r="D59" s="90">
        <f>IF($C4="Affected fraction",D4,IF(D4=1,1,D4*0.9))</f>
        <v>0</v>
      </c>
      <c r="E59" s="90">
        <f>IF($C4="Affected fraction",E4,IF(E4=1,1,E4*0.9))</f>
        <v>0</v>
      </c>
      <c r="F59" s="90">
        <v>0.13</v>
      </c>
      <c r="G59" s="90">
        <v>0.13</v>
      </c>
      <c r="H59" s="90">
        <v>0.13</v>
      </c>
    </row>
    <row r="60" spans="1:8" ht="13.25" customHeight="1" x14ac:dyDescent="0.25">
      <c r="A60" s="5" t="s">
        <v>192</v>
      </c>
      <c r="B60" s="5" t="s">
        <v>208</v>
      </c>
      <c r="C60" s="5" t="s">
        <v>334</v>
      </c>
      <c r="D60" s="90">
        <v>0</v>
      </c>
      <c r="E60" s="90">
        <v>0</v>
      </c>
      <c r="F60" s="90">
        <v>1</v>
      </c>
      <c r="G60" s="90">
        <v>1</v>
      </c>
      <c r="H60" s="90">
        <v>0</v>
      </c>
    </row>
    <row r="61" spans="1:8" ht="13.25" customHeight="1" x14ac:dyDescent="0.25">
      <c r="C61" s="5" t="s">
        <v>336</v>
      </c>
      <c r="D61" s="90">
        <v>0</v>
      </c>
      <c r="E61" s="90">
        <v>0</v>
      </c>
      <c r="F61" s="90">
        <v>0</v>
      </c>
      <c r="G61" s="90">
        <v>0</v>
      </c>
      <c r="H61" s="90">
        <v>0</v>
      </c>
    </row>
    <row r="62" spans="1:8" ht="13.25" customHeight="1" x14ac:dyDescent="0.25">
      <c r="B62" s="5" t="s">
        <v>209</v>
      </c>
      <c r="C62" s="5" t="s">
        <v>334</v>
      </c>
      <c r="D62" s="90">
        <v>0</v>
      </c>
      <c r="E62" s="90">
        <v>0</v>
      </c>
      <c r="F62" s="90">
        <v>1</v>
      </c>
      <c r="G62" s="90">
        <v>1</v>
      </c>
      <c r="H62" s="90">
        <v>0</v>
      </c>
    </row>
    <row r="63" spans="1:8" ht="13.25" customHeight="1" x14ac:dyDescent="0.25">
      <c r="C63" s="5" t="s">
        <v>336</v>
      </c>
      <c r="D63" s="90">
        <v>0</v>
      </c>
      <c r="E63" s="90">
        <v>0</v>
      </c>
      <c r="F63" s="90">
        <v>0</v>
      </c>
      <c r="G63" s="90">
        <v>0</v>
      </c>
      <c r="H63" s="90">
        <v>0</v>
      </c>
    </row>
    <row r="64" spans="1:8" ht="13.25" customHeight="1" x14ac:dyDescent="0.25">
      <c r="A64" s="5" t="s">
        <v>185</v>
      </c>
      <c r="B64" s="5" t="s">
        <v>208</v>
      </c>
      <c r="C64" s="5" t="s">
        <v>334</v>
      </c>
      <c r="D64" s="90">
        <v>0</v>
      </c>
      <c r="E64" s="90">
        <v>0</v>
      </c>
      <c r="F64" s="90">
        <v>1</v>
      </c>
      <c r="G64" s="90">
        <v>1</v>
      </c>
      <c r="H64" s="90">
        <v>0</v>
      </c>
    </row>
    <row r="65" spans="1:8" ht="13.25" customHeight="1" x14ac:dyDescent="0.25">
      <c r="C65" s="5" t="s">
        <v>336</v>
      </c>
      <c r="D65" s="90">
        <v>0</v>
      </c>
      <c r="E65" s="90">
        <v>0</v>
      </c>
      <c r="F65" s="90">
        <v>0</v>
      </c>
      <c r="G65" s="90">
        <v>0</v>
      </c>
      <c r="H65" s="90">
        <v>0</v>
      </c>
    </row>
    <row r="66" spans="1:8" ht="13.25" customHeight="1" x14ac:dyDescent="0.25">
      <c r="B66" s="5" t="s">
        <v>209</v>
      </c>
      <c r="C66" s="5" t="s">
        <v>334</v>
      </c>
      <c r="D66" s="90">
        <v>0</v>
      </c>
      <c r="E66" s="90">
        <v>0</v>
      </c>
      <c r="F66" s="90">
        <v>1</v>
      </c>
      <c r="G66" s="90">
        <v>1</v>
      </c>
      <c r="H66" s="90">
        <v>0</v>
      </c>
    </row>
    <row r="67" spans="1:8" ht="13.25" customHeight="1" x14ac:dyDescent="0.25">
      <c r="C67" s="5" t="s">
        <v>336</v>
      </c>
      <c r="D67" s="90">
        <v>0</v>
      </c>
      <c r="E67" s="90">
        <v>0</v>
      </c>
      <c r="F67" s="90">
        <v>0</v>
      </c>
      <c r="G67" s="90">
        <v>0</v>
      </c>
      <c r="H67" s="90">
        <v>0</v>
      </c>
    </row>
    <row r="68" spans="1:8" ht="13.25" customHeight="1" x14ac:dyDescent="0.25">
      <c r="A68" s="5" t="s">
        <v>205</v>
      </c>
      <c r="B68" s="5" t="s">
        <v>208</v>
      </c>
      <c r="C68" s="5" t="s">
        <v>334</v>
      </c>
      <c r="D68" s="90">
        <v>0</v>
      </c>
      <c r="E68" s="90">
        <v>0</v>
      </c>
      <c r="F68" s="90">
        <v>1</v>
      </c>
      <c r="G68" s="90">
        <v>1</v>
      </c>
      <c r="H68" s="90">
        <v>0</v>
      </c>
    </row>
    <row r="69" spans="1:8" ht="13.25" customHeight="1" x14ac:dyDescent="0.25">
      <c r="C69" s="5" t="s">
        <v>336</v>
      </c>
      <c r="D69" s="90">
        <f t="shared" ref="D69:E76" si="0">IF($C14="Affected fraction",D14,IF(D14=1,1,D14*0.9))</f>
        <v>0</v>
      </c>
      <c r="E69" s="90">
        <f t="shared" si="0"/>
        <v>0</v>
      </c>
      <c r="F69" s="90">
        <v>0.14000000000000001</v>
      </c>
      <c r="G69" s="90">
        <v>0.14000000000000001</v>
      </c>
      <c r="H69" s="90">
        <f>IF($C14="Affected fraction",H14,IF(H14=1,1,H14*0.9))</f>
        <v>0</v>
      </c>
    </row>
    <row r="70" spans="1:8" ht="13.25" customHeight="1" x14ac:dyDescent="0.25">
      <c r="B70" s="5" t="s">
        <v>209</v>
      </c>
      <c r="C70" s="5" t="s">
        <v>334</v>
      </c>
      <c r="D70" s="90">
        <f t="shared" si="0"/>
        <v>0</v>
      </c>
      <c r="E70" s="90">
        <f t="shared" si="0"/>
        <v>0</v>
      </c>
      <c r="F70" s="90">
        <f>IF($C15="Affected fraction",F15,IF(F15=1,1,F15*0.9))</f>
        <v>1</v>
      </c>
      <c r="G70" s="90">
        <f>IF($C15="Affected fraction",G15,IF(G15=1,1,G15*0.9))</f>
        <v>1</v>
      </c>
      <c r="H70" s="90">
        <f>IF($C15="Affected fraction",H15,IF(H15=1,1,H15*0.9))</f>
        <v>0</v>
      </c>
    </row>
    <row r="71" spans="1:8" ht="13.25" customHeight="1" x14ac:dyDescent="0.25">
      <c r="C71" s="5" t="s">
        <v>336</v>
      </c>
      <c r="D71" s="90">
        <f t="shared" si="0"/>
        <v>0</v>
      </c>
      <c r="E71" s="90">
        <f t="shared" si="0"/>
        <v>0</v>
      </c>
      <c r="F71" s="90">
        <v>7.0000000000000007E-2</v>
      </c>
      <c r="G71" s="90">
        <v>7.0000000000000007E-2</v>
      </c>
      <c r="H71" s="90">
        <f>IF($C16="Affected fraction",H16,IF(H16=1,1,H16*0.9))</f>
        <v>0</v>
      </c>
    </row>
    <row r="72" spans="1:8" ht="13.25" customHeight="1" x14ac:dyDescent="0.25">
      <c r="A72" s="5" t="s">
        <v>170</v>
      </c>
      <c r="B72" s="5" t="s">
        <v>208</v>
      </c>
      <c r="C72" s="5" t="s">
        <v>334</v>
      </c>
      <c r="D72" s="90">
        <f t="shared" si="0"/>
        <v>0</v>
      </c>
      <c r="E72" s="90">
        <f t="shared" si="0"/>
        <v>0</v>
      </c>
      <c r="F72" s="90">
        <f>IF($C17="Affected fraction",F17,IF(F17=1,1,F17*0.9))</f>
        <v>1</v>
      </c>
      <c r="G72" s="90">
        <f>IF($C17="Affected fraction",G17,IF(G17=1,1,G17*0.9))</f>
        <v>1</v>
      </c>
      <c r="H72" s="90">
        <f>IF($C17="Affected fraction",H17,IF(H17=1,1,H17*0.9))</f>
        <v>1</v>
      </c>
    </row>
    <row r="73" spans="1:8" ht="13.25" customHeight="1" x14ac:dyDescent="0.25">
      <c r="C73" s="5" t="s">
        <v>336</v>
      </c>
      <c r="D73" s="90">
        <f t="shared" si="0"/>
        <v>0</v>
      </c>
      <c r="E73" s="90">
        <f t="shared" si="0"/>
        <v>0</v>
      </c>
      <c r="F73" s="90">
        <v>0.39</v>
      </c>
      <c r="G73" s="90">
        <v>0.39</v>
      </c>
      <c r="H73" s="90">
        <v>0.39</v>
      </c>
    </row>
    <row r="74" spans="1:8" x14ac:dyDescent="0.25">
      <c r="B74" s="5" t="s">
        <v>209</v>
      </c>
      <c r="C74" s="5" t="s">
        <v>334</v>
      </c>
      <c r="D74" s="90">
        <f t="shared" si="0"/>
        <v>0</v>
      </c>
      <c r="E74" s="90">
        <f t="shared" si="0"/>
        <v>0</v>
      </c>
      <c r="F74" s="90">
        <f>IF($C19="Affected fraction",F19,IF(F19=1,1,F19*0.9))</f>
        <v>1</v>
      </c>
      <c r="G74" s="90">
        <f>IF($C19="Affected fraction",G19,IF(G19=1,1,G19*0.9))</f>
        <v>1</v>
      </c>
      <c r="H74" s="90">
        <f>IF($C19="Affected fraction",H19,IF(H19=1,1,H19*0.9))</f>
        <v>1</v>
      </c>
    </row>
    <row r="75" spans="1:8" x14ac:dyDescent="0.25">
      <c r="C75" s="5" t="s">
        <v>336</v>
      </c>
      <c r="D75" s="90">
        <f t="shared" si="0"/>
        <v>0</v>
      </c>
      <c r="E75" s="90">
        <f t="shared" si="0"/>
        <v>0</v>
      </c>
      <c r="F75" s="90">
        <v>0.32</v>
      </c>
      <c r="G75" s="90">
        <v>0.32</v>
      </c>
      <c r="H75" s="90">
        <v>0.32</v>
      </c>
    </row>
    <row r="76" spans="1:8" x14ac:dyDescent="0.25">
      <c r="A76" s="5" t="s">
        <v>175</v>
      </c>
      <c r="B76" s="5" t="s">
        <v>84</v>
      </c>
      <c r="C76" s="5" t="s">
        <v>334</v>
      </c>
      <c r="D76" s="90">
        <f t="shared" si="0"/>
        <v>1</v>
      </c>
      <c r="E76" s="90">
        <f t="shared" si="0"/>
        <v>0</v>
      </c>
      <c r="F76" s="90">
        <f t="shared" ref="F76:H81" si="1">IF($C21="Affected fraction",F21,IF(F21=1,1,F21*0.9))</f>
        <v>0</v>
      </c>
      <c r="G76" s="90">
        <f t="shared" si="1"/>
        <v>0</v>
      </c>
      <c r="H76" s="90">
        <f t="shared" si="1"/>
        <v>0</v>
      </c>
    </row>
    <row r="77" spans="1:8" x14ac:dyDescent="0.25">
      <c r="C77" s="5" t="s">
        <v>335</v>
      </c>
      <c r="D77" s="90">
        <v>0.11</v>
      </c>
      <c r="E77" s="90">
        <f>IF($C22="Affected fraction",E22,IF(E22=1,1,E22*0.9))</f>
        <v>0</v>
      </c>
      <c r="F77" s="90">
        <f t="shared" si="1"/>
        <v>0</v>
      </c>
      <c r="G77" s="90">
        <f t="shared" si="1"/>
        <v>0</v>
      </c>
      <c r="H77" s="90">
        <f t="shared" si="1"/>
        <v>0</v>
      </c>
    </row>
    <row r="78" spans="1:8" x14ac:dyDescent="0.25">
      <c r="A78" s="5" t="s">
        <v>173</v>
      </c>
      <c r="B78" s="5" t="s">
        <v>84</v>
      </c>
      <c r="C78" s="5" t="s">
        <v>334</v>
      </c>
      <c r="D78" s="90">
        <f>IF($C23="Affected fraction",D23,IF(D23=1,1,D23*0.9))</f>
        <v>1</v>
      </c>
      <c r="E78" s="90">
        <f>IF($C23="Affected fraction",E23,IF(E23=1,1,E23*0.9))</f>
        <v>0</v>
      </c>
      <c r="F78" s="90">
        <f t="shared" si="1"/>
        <v>0</v>
      </c>
      <c r="G78" s="90">
        <f t="shared" si="1"/>
        <v>0</v>
      </c>
      <c r="H78" s="90">
        <f t="shared" si="1"/>
        <v>0</v>
      </c>
    </row>
    <row r="79" spans="1:8" x14ac:dyDescent="0.25">
      <c r="C79" s="5" t="s">
        <v>335</v>
      </c>
      <c r="D79" s="90">
        <v>0.11</v>
      </c>
      <c r="E79" s="90">
        <f>IF($C24="Affected fraction",E24,IF(E24=1,1,E24*0.9))</f>
        <v>0</v>
      </c>
      <c r="F79" s="90">
        <f t="shared" si="1"/>
        <v>0</v>
      </c>
      <c r="G79" s="90">
        <f t="shared" si="1"/>
        <v>0</v>
      </c>
      <c r="H79" s="90">
        <f t="shared" si="1"/>
        <v>0</v>
      </c>
    </row>
    <row r="80" spans="1:8" x14ac:dyDescent="0.25">
      <c r="A80" s="5" t="s">
        <v>174</v>
      </c>
      <c r="B80" s="5" t="s">
        <v>84</v>
      </c>
      <c r="C80" s="5" t="s">
        <v>334</v>
      </c>
      <c r="D80" s="90">
        <f>IF($C25="Affected fraction",D25,IF(D25=1,1,D25*0.9))</f>
        <v>1</v>
      </c>
      <c r="E80" s="90">
        <f>IF($C25="Affected fraction",E25,IF(E25=1,1,E25*0.9))</f>
        <v>0</v>
      </c>
      <c r="F80" s="90">
        <f t="shared" si="1"/>
        <v>0</v>
      </c>
      <c r="G80" s="90">
        <f t="shared" si="1"/>
        <v>0</v>
      </c>
      <c r="H80" s="90">
        <f t="shared" si="1"/>
        <v>0</v>
      </c>
    </row>
    <row r="81" spans="1:8" x14ac:dyDescent="0.25">
      <c r="C81" s="5" t="s">
        <v>335</v>
      </c>
      <c r="D81" s="90">
        <v>0.11</v>
      </c>
      <c r="E81" s="90">
        <f>IF($C26="Affected fraction",E26,IF(E26=1,1,E26*0.9))</f>
        <v>0</v>
      </c>
      <c r="F81" s="90">
        <f t="shared" si="1"/>
        <v>0</v>
      </c>
      <c r="G81" s="90">
        <f t="shared" si="1"/>
        <v>0</v>
      </c>
      <c r="H81" s="90">
        <f t="shared" si="1"/>
        <v>0</v>
      </c>
    </row>
    <row r="82" spans="1:8" x14ac:dyDescent="0.25">
      <c r="A82" s="5" t="s">
        <v>197</v>
      </c>
      <c r="B82" s="5" t="s">
        <v>87</v>
      </c>
      <c r="C82" s="5" t="s">
        <v>334</v>
      </c>
      <c r="D82" s="90">
        <v>1</v>
      </c>
      <c r="E82" s="90">
        <v>1</v>
      </c>
      <c r="F82" s="90">
        <v>1</v>
      </c>
      <c r="G82" s="90">
        <v>1</v>
      </c>
      <c r="H82" s="90">
        <v>1</v>
      </c>
    </row>
    <row r="83" spans="1:8" x14ac:dyDescent="0.25">
      <c r="C83" s="5" t="s">
        <v>335</v>
      </c>
      <c r="D83" s="90">
        <v>0</v>
      </c>
      <c r="E83" s="90">
        <v>0</v>
      </c>
      <c r="F83" s="90">
        <v>0</v>
      </c>
      <c r="G83" s="90">
        <v>0</v>
      </c>
      <c r="H83" s="90">
        <v>0</v>
      </c>
    </row>
    <row r="84" spans="1:8" x14ac:dyDescent="0.25">
      <c r="C84" s="5" t="s">
        <v>336</v>
      </c>
      <c r="D84" s="90">
        <v>0</v>
      </c>
      <c r="E84" s="90">
        <v>0</v>
      </c>
      <c r="F84" s="90">
        <v>0</v>
      </c>
      <c r="G84" s="90">
        <v>0</v>
      </c>
      <c r="H84" s="90">
        <v>0</v>
      </c>
    </row>
    <row r="85" spans="1:8" x14ac:dyDescent="0.25">
      <c r="A85" s="5" t="s">
        <v>198</v>
      </c>
      <c r="B85" s="5" t="s">
        <v>87</v>
      </c>
      <c r="C85" s="5" t="s">
        <v>334</v>
      </c>
      <c r="D85" s="90">
        <v>1</v>
      </c>
      <c r="E85" s="90">
        <v>1</v>
      </c>
      <c r="F85" s="90">
        <v>1</v>
      </c>
      <c r="G85" s="90">
        <v>1</v>
      </c>
      <c r="H85" s="90">
        <v>1</v>
      </c>
    </row>
    <row r="86" spans="1:8" x14ac:dyDescent="0.25">
      <c r="C86" s="5" t="s">
        <v>335</v>
      </c>
      <c r="D86" s="90">
        <v>0</v>
      </c>
      <c r="E86" s="90">
        <v>0</v>
      </c>
      <c r="F86" s="90">
        <v>0</v>
      </c>
      <c r="G86" s="90">
        <v>0</v>
      </c>
      <c r="H86" s="90">
        <v>0</v>
      </c>
    </row>
    <row r="87" spans="1:8" x14ac:dyDescent="0.25">
      <c r="C87" s="5" t="s">
        <v>336</v>
      </c>
      <c r="D87" s="90">
        <v>0</v>
      </c>
      <c r="E87" s="90">
        <v>0</v>
      </c>
      <c r="F87" s="90">
        <v>0</v>
      </c>
      <c r="G87" s="90">
        <v>0</v>
      </c>
      <c r="H87" s="90">
        <v>0</v>
      </c>
    </row>
    <row r="88" spans="1:8" x14ac:dyDescent="0.25">
      <c r="A88" s="5" t="s">
        <v>196</v>
      </c>
      <c r="B88" s="5" t="s">
        <v>87</v>
      </c>
      <c r="C88" s="5" t="s">
        <v>334</v>
      </c>
      <c r="D88" s="90">
        <v>1</v>
      </c>
      <c r="E88" s="90">
        <v>1</v>
      </c>
      <c r="F88" s="90">
        <v>1</v>
      </c>
      <c r="G88" s="90">
        <v>1</v>
      </c>
      <c r="H88" s="90">
        <v>1</v>
      </c>
    </row>
    <row r="89" spans="1:8" x14ac:dyDescent="0.25">
      <c r="C89" s="5" t="s">
        <v>335</v>
      </c>
      <c r="D89" s="90">
        <v>0</v>
      </c>
      <c r="E89" s="90">
        <v>0</v>
      </c>
      <c r="F89" s="90">
        <v>0</v>
      </c>
      <c r="G89" s="90">
        <v>0</v>
      </c>
      <c r="H89" s="90">
        <v>0</v>
      </c>
    </row>
    <row r="90" spans="1:8" x14ac:dyDescent="0.25">
      <c r="C90" s="5" t="s">
        <v>336</v>
      </c>
      <c r="D90" s="90">
        <v>0</v>
      </c>
      <c r="E90" s="90">
        <v>0</v>
      </c>
      <c r="F90" s="90">
        <v>0</v>
      </c>
      <c r="G90" s="90">
        <v>0</v>
      </c>
      <c r="H90" s="90">
        <v>0</v>
      </c>
    </row>
    <row r="91" spans="1:8" x14ac:dyDescent="0.25">
      <c r="A91" s="5" t="s">
        <v>195</v>
      </c>
      <c r="B91" s="5" t="s">
        <v>87</v>
      </c>
      <c r="C91" s="5" t="s">
        <v>334</v>
      </c>
      <c r="D91" s="90">
        <v>1</v>
      </c>
      <c r="E91" s="90">
        <v>1</v>
      </c>
      <c r="F91" s="90">
        <v>1</v>
      </c>
      <c r="G91" s="90">
        <v>1</v>
      </c>
      <c r="H91" s="90">
        <v>1</v>
      </c>
    </row>
    <row r="92" spans="1:8" x14ac:dyDescent="0.25">
      <c r="C92" s="5" t="s">
        <v>335</v>
      </c>
      <c r="D92" s="90">
        <v>0</v>
      </c>
      <c r="E92" s="90">
        <v>0</v>
      </c>
      <c r="F92" s="90">
        <v>0</v>
      </c>
      <c r="G92" s="90">
        <v>0</v>
      </c>
      <c r="H92" s="90">
        <v>0</v>
      </c>
    </row>
    <row r="93" spans="1:8" x14ac:dyDescent="0.25">
      <c r="C93" s="5" t="s">
        <v>336</v>
      </c>
      <c r="D93" s="90">
        <v>0</v>
      </c>
      <c r="E93" s="90">
        <v>0</v>
      </c>
      <c r="F93" s="90">
        <v>0</v>
      </c>
      <c r="G93" s="90">
        <v>0</v>
      </c>
      <c r="H93" s="90">
        <v>0</v>
      </c>
    </row>
    <row r="94" spans="1:8" x14ac:dyDescent="0.25">
      <c r="A94" s="5" t="s">
        <v>194</v>
      </c>
      <c r="B94" s="5" t="s">
        <v>87</v>
      </c>
      <c r="C94" s="5" t="s">
        <v>334</v>
      </c>
      <c r="D94" s="90">
        <v>1</v>
      </c>
      <c r="E94" s="90">
        <v>1</v>
      </c>
      <c r="F94" s="90">
        <v>1</v>
      </c>
      <c r="G94" s="90">
        <v>1</v>
      </c>
      <c r="H94" s="90">
        <v>1</v>
      </c>
    </row>
    <row r="95" spans="1:8" x14ac:dyDescent="0.25">
      <c r="C95" s="5" t="s">
        <v>335</v>
      </c>
      <c r="D95" s="90">
        <v>0</v>
      </c>
      <c r="E95" s="90">
        <v>0</v>
      </c>
      <c r="F95" s="90">
        <v>0</v>
      </c>
      <c r="G95" s="90">
        <v>0</v>
      </c>
      <c r="H95" s="90">
        <v>0</v>
      </c>
    </row>
    <row r="96" spans="1:8" x14ac:dyDescent="0.25">
      <c r="C96" s="5" t="s">
        <v>336</v>
      </c>
      <c r="D96" s="90">
        <v>0</v>
      </c>
      <c r="E96" s="90">
        <v>0</v>
      </c>
      <c r="F96" s="90">
        <v>0</v>
      </c>
      <c r="G96" s="90">
        <v>0</v>
      </c>
      <c r="H96" s="90">
        <v>0</v>
      </c>
    </row>
    <row r="97" spans="1:8" x14ac:dyDescent="0.25">
      <c r="A97" s="5" t="s">
        <v>200</v>
      </c>
      <c r="B97" s="5" t="s">
        <v>87</v>
      </c>
      <c r="C97" s="5" t="s">
        <v>334</v>
      </c>
      <c r="D97" s="90">
        <f>IF($C42="Affected fraction",D42,IF(D42=1,1,D42*0.9))</f>
        <v>0</v>
      </c>
      <c r="E97" s="90">
        <f>IF($C42="Affected fraction",E42,IF(E42=1,1,E42*0.9))</f>
        <v>1</v>
      </c>
      <c r="F97" s="90">
        <f>IF($C42="Affected fraction",F42,IF(F42=1,1,F42*0.9))</f>
        <v>1</v>
      </c>
      <c r="G97" s="90">
        <f>IF($C42="Affected fraction",G42,IF(G42=1,1,G42*0.9))</f>
        <v>1</v>
      </c>
      <c r="H97" s="90">
        <f>IF($C42="Affected fraction",H42,IF(H42=1,1,H42*0.9))</f>
        <v>1</v>
      </c>
    </row>
    <row r="98" spans="1:8" x14ac:dyDescent="0.25">
      <c r="C98" s="5" t="s">
        <v>335</v>
      </c>
      <c r="D98" s="90">
        <v>0</v>
      </c>
      <c r="E98" s="90">
        <v>0</v>
      </c>
      <c r="F98" s="90">
        <v>0</v>
      </c>
      <c r="G98" s="90">
        <v>0</v>
      </c>
      <c r="H98" s="90">
        <v>0</v>
      </c>
    </row>
    <row r="99" spans="1:8" x14ac:dyDescent="0.25">
      <c r="C99" s="5" t="s">
        <v>336</v>
      </c>
      <c r="D99" s="90">
        <v>7.0000000000000007E-2</v>
      </c>
      <c r="E99" s="90">
        <v>7.0000000000000007E-2</v>
      </c>
      <c r="F99" s="90">
        <v>7.0000000000000007E-2</v>
      </c>
      <c r="G99" s="90">
        <v>7.0000000000000007E-2</v>
      </c>
      <c r="H99" s="90">
        <v>7.0000000000000007E-2</v>
      </c>
    </row>
    <row r="100" spans="1:8" x14ac:dyDescent="0.25">
      <c r="B100" s="5" t="s">
        <v>88</v>
      </c>
      <c r="C100" s="5" t="s">
        <v>334</v>
      </c>
      <c r="D100" s="90">
        <v>0</v>
      </c>
      <c r="E100" s="90">
        <v>1</v>
      </c>
      <c r="F100" s="90">
        <v>1</v>
      </c>
      <c r="G100" s="90">
        <v>1</v>
      </c>
      <c r="H100" s="90">
        <v>1</v>
      </c>
    </row>
    <row r="101" spans="1:8" x14ac:dyDescent="0.25">
      <c r="C101" s="5" t="s">
        <v>335</v>
      </c>
      <c r="D101" s="90">
        <v>0</v>
      </c>
      <c r="E101" s="90">
        <v>0</v>
      </c>
      <c r="F101" s="90">
        <v>0</v>
      </c>
      <c r="G101" s="90">
        <v>0</v>
      </c>
      <c r="H101" s="90">
        <v>0</v>
      </c>
    </row>
    <row r="102" spans="1:8" x14ac:dyDescent="0.25">
      <c r="C102" s="5" t="s">
        <v>336</v>
      </c>
      <c r="D102" s="90">
        <v>0</v>
      </c>
      <c r="E102" s="90">
        <v>0</v>
      </c>
      <c r="F102" s="90">
        <v>0</v>
      </c>
      <c r="G102" s="90">
        <v>0</v>
      </c>
      <c r="H102" s="90">
        <v>0</v>
      </c>
    </row>
    <row r="103" spans="1:8" x14ac:dyDescent="0.25">
      <c r="A103" s="5" t="s">
        <v>191</v>
      </c>
      <c r="B103" s="5" t="s">
        <v>87</v>
      </c>
      <c r="C103" s="5" t="s">
        <v>334</v>
      </c>
      <c r="D103" s="90">
        <v>1</v>
      </c>
      <c r="E103" s="90">
        <v>1</v>
      </c>
      <c r="F103" s="90">
        <v>1</v>
      </c>
      <c r="G103" s="90">
        <v>1</v>
      </c>
      <c r="H103" s="90">
        <v>1</v>
      </c>
    </row>
    <row r="104" spans="1:8" x14ac:dyDescent="0.25">
      <c r="C104" s="5" t="s">
        <v>335</v>
      </c>
      <c r="D104" s="90">
        <v>0.51</v>
      </c>
      <c r="E104" s="90">
        <v>0.51</v>
      </c>
      <c r="F104" s="90">
        <v>0.51</v>
      </c>
      <c r="G104" s="90">
        <v>0.51</v>
      </c>
      <c r="H104" s="90">
        <v>0.51</v>
      </c>
    </row>
    <row r="105" spans="1:8" x14ac:dyDescent="0.25">
      <c r="A105" s="5" t="s">
        <v>199</v>
      </c>
      <c r="B105" s="5" t="s">
        <v>87</v>
      </c>
      <c r="C105" s="5" t="s">
        <v>334</v>
      </c>
      <c r="D105" s="90">
        <v>1</v>
      </c>
      <c r="E105" s="90">
        <v>1</v>
      </c>
      <c r="F105" s="90">
        <v>1</v>
      </c>
      <c r="G105" s="90">
        <v>1</v>
      </c>
      <c r="H105" s="90">
        <v>1</v>
      </c>
    </row>
    <row r="106" spans="1:8" x14ac:dyDescent="0.25">
      <c r="C106" s="5" t="s">
        <v>335</v>
      </c>
      <c r="D106" s="90">
        <v>0.62</v>
      </c>
      <c r="E106" s="90">
        <v>0.62</v>
      </c>
      <c r="F106" s="90">
        <v>0.62</v>
      </c>
      <c r="G106" s="90">
        <v>0.62</v>
      </c>
      <c r="H106" s="90">
        <v>0.62</v>
      </c>
    </row>
    <row r="107" spans="1:8" x14ac:dyDescent="0.25">
      <c r="A107" s="5" t="s">
        <v>184</v>
      </c>
      <c r="B107" s="5" t="s">
        <v>82</v>
      </c>
      <c r="C107" s="5" t="s">
        <v>334</v>
      </c>
      <c r="D107" s="90">
        <v>1</v>
      </c>
      <c r="E107" s="90">
        <v>0</v>
      </c>
      <c r="F107" s="90">
        <v>0</v>
      </c>
      <c r="G107" s="90">
        <v>0</v>
      </c>
      <c r="H107" s="90">
        <v>0</v>
      </c>
    </row>
    <row r="108" spans="1:8" x14ac:dyDescent="0.25">
      <c r="C108" s="5" t="s">
        <v>335</v>
      </c>
      <c r="D108" s="90">
        <v>0.18</v>
      </c>
      <c r="E108" s="90">
        <v>0</v>
      </c>
      <c r="F108" s="90">
        <v>0</v>
      </c>
      <c r="G108" s="90">
        <v>0</v>
      </c>
      <c r="H108" s="90">
        <v>0</v>
      </c>
    </row>
    <row r="110" spans="1:8" s="93" customFormat="1" ht="13" customHeight="1" x14ac:dyDescent="0.3">
      <c r="A110" s="96" t="s">
        <v>332</v>
      </c>
      <c r="B110" s="97"/>
      <c r="C110" s="97"/>
    </row>
    <row r="111" spans="1:8" ht="13" customHeight="1" x14ac:dyDescent="0.3">
      <c r="A111" s="4" t="s">
        <v>160</v>
      </c>
      <c r="B111" s="4" t="s">
        <v>333</v>
      </c>
      <c r="C111" s="82" t="s">
        <v>12</v>
      </c>
      <c r="D111" s="4" t="s">
        <v>109</v>
      </c>
      <c r="E111" s="4" t="s">
        <v>96</v>
      </c>
      <c r="F111" s="4" t="s">
        <v>97</v>
      </c>
      <c r="G111" s="4" t="s">
        <v>98</v>
      </c>
      <c r="H111" s="4" t="s">
        <v>99</v>
      </c>
    </row>
    <row r="112" spans="1:8" x14ac:dyDescent="0.25">
      <c r="A112" s="5" t="s">
        <v>193</v>
      </c>
      <c r="B112" s="5" t="s">
        <v>87</v>
      </c>
      <c r="C112" s="5" t="s">
        <v>334</v>
      </c>
      <c r="D112" s="90">
        <f t="shared" ref="D112:E114" si="2">IF($C2="Affected fraction",D2,IF(D2=1,1,D2*1.05))</f>
        <v>0</v>
      </c>
      <c r="E112" s="90">
        <f t="shared" si="2"/>
        <v>0</v>
      </c>
      <c r="F112" s="90">
        <f>IF($C57="Affected fraction",F57,IF(F57=1,1,F57*0.9))</f>
        <v>1</v>
      </c>
      <c r="G112" s="90">
        <f>IF($C57="Affected fraction",G57,IF(G57=1,1,G57*0.9))</f>
        <v>1</v>
      </c>
      <c r="H112" s="90">
        <f>IF($C57="Affected fraction",H57,IF(H57=1,1,H57*0.9))</f>
        <v>1</v>
      </c>
    </row>
    <row r="113" spans="1:8" x14ac:dyDescent="0.25">
      <c r="C113" s="5" t="s">
        <v>335</v>
      </c>
      <c r="D113" s="90">
        <f t="shared" si="2"/>
        <v>0</v>
      </c>
      <c r="E113" s="90">
        <f t="shared" si="2"/>
        <v>0</v>
      </c>
      <c r="F113" s="90">
        <v>0.21</v>
      </c>
      <c r="G113" s="90">
        <v>0.21</v>
      </c>
      <c r="H113" s="90">
        <v>0.21</v>
      </c>
    </row>
    <row r="114" spans="1:8" x14ac:dyDescent="0.25">
      <c r="C114" s="5" t="s">
        <v>336</v>
      </c>
      <c r="D114" s="90">
        <f t="shared" si="2"/>
        <v>0</v>
      </c>
      <c r="E114" s="90">
        <f t="shared" si="2"/>
        <v>0</v>
      </c>
      <c r="F114" s="90">
        <v>0.18</v>
      </c>
      <c r="G114" s="90">
        <v>0.18</v>
      </c>
      <c r="H114" s="90">
        <v>0.18</v>
      </c>
    </row>
    <row r="115" spans="1:8" x14ac:dyDescent="0.25">
      <c r="A115" s="5" t="s">
        <v>192</v>
      </c>
      <c r="B115" s="5" t="s">
        <v>208</v>
      </c>
      <c r="C115" s="5" t="s">
        <v>334</v>
      </c>
      <c r="D115" s="90">
        <v>0</v>
      </c>
      <c r="E115" s="90">
        <v>0</v>
      </c>
      <c r="F115" s="90">
        <v>1</v>
      </c>
      <c r="G115" s="90">
        <v>1</v>
      </c>
      <c r="H115" s="90">
        <v>0</v>
      </c>
    </row>
    <row r="116" spans="1:8" x14ac:dyDescent="0.25">
      <c r="C116" s="5" t="s">
        <v>336</v>
      </c>
      <c r="D116" s="90">
        <v>0</v>
      </c>
      <c r="E116" s="90">
        <v>0</v>
      </c>
      <c r="F116" s="90">
        <v>0</v>
      </c>
      <c r="G116" s="90">
        <v>0</v>
      </c>
      <c r="H116" s="90">
        <v>0</v>
      </c>
    </row>
    <row r="117" spans="1:8" x14ac:dyDescent="0.25">
      <c r="B117" s="5" t="s">
        <v>209</v>
      </c>
      <c r="C117" s="5" t="s">
        <v>334</v>
      </c>
      <c r="D117" s="90">
        <v>0</v>
      </c>
      <c r="E117" s="90">
        <v>0</v>
      </c>
      <c r="F117" s="90">
        <v>1</v>
      </c>
      <c r="G117" s="90">
        <v>1</v>
      </c>
      <c r="H117" s="90">
        <v>0</v>
      </c>
    </row>
    <row r="118" spans="1:8" x14ac:dyDescent="0.25">
      <c r="C118" s="5" t="s">
        <v>336</v>
      </c>
      <c r="D118" s="90">
        <v>0</v>
      </c>
      <c r="E118" s="90">
        <v>0</v>
      </c>
      <c r="F118" s="90">
        <v>0</v>
      </c>
      <c r="G118" s="90">
        <v>0</v>
      </c>
      <c r="H118" s="90">
        <v>0</v>
      </c>
    </row>
    <row r="119" spans="1:8" x14ac:dyDescent="0.25">
      <c r="A119" s="5" t="s">
        <v>185</v>
      </c>
      <c r="B119" s="5" t="s">
        <v>208</v>
      </c>
      <c r="C119" s="5" t="s">
        <v>334</v>
      </c>
      <c r="D119" s="90">
        <v>0</v>
      </c>
      <c r="E119" s="90">
        <v>0</v>
      </c>
      <c r="F119" s="90">
        <v>1</v>
      </c>
      <c r="G119" s="90">
        <v>1</v>
      </c>
      <c r="H119" s="90">
        <v>0</v>
      </c>
    </row>
    <row r="120" spans="1:8" x14ac:dyDescent="0.25">
      <c r="C120" s="5" t="s">
        <v>336</v>
      </c>
      <c r="D120" s="90">
        <v>0</v>
      </c>
      <c r="E120" s="90">
        <v>0</v>
      </c>
      <c r="F120" s="90">
        <v>0</v>
      </c>
      <c r="G120" s="90">
        <v>0</v>
      </c>
      <c r="H120" s="90">
        <v>0</v>
      </c>
    </row>
    <row r="121" spans="1:8" x14ac:dyDescent="0.25">
      <c r="B121" s="5" t="s">
        <v>209</v>
      </c>
      <c r="C121" s="5" t="s">
        <v>334</v>
      </c>
      <c r="D121" s="90">
        <v>0</v>
      </c>
      <c r="E121" s="90">
        <v>0</v>
      </c>
      <c r="F121" s="90">
        <v>1</v>
      </c>
      <c r="G121" s="90">
        <v>1</v>
      </c>
      <c r="H121" s="90">
        <v>0</v>
      </c>
    </row>
    <row r="122" spans="1:8" x14ac:dyDescent="0.25">
      <c r="C122" s="5" t="s">
        <v>336</v>
      </c>
      <c r="D122" s="90">
        <v>0</v>
      </c>
      <c r="E122" s="90">
        <v>0</v>
      </c>
      <c r="F122" s="90">
        <v>0</v>
      </c>
      <c r="G122" s="90">
        <v>0</v>
      </c>
      <c r="H122" s="90">
        <v>0</v>
      </c>
    </row>
    <row r="123" spans="1:8" x14ac:dyDescent="0.25">
      <c r="A123" s="5" t="s">
        <v>205</v>
      </c>
      <c r="B123" s="5" t="s">
        <v>208</v>
      </c>
      <c r="C123" s="5" t="s">
        <v>334</v>
      </c>
      <c r="D123" s="90">
        <v>0</v>
      </c>
      <c r="E123" s="90">
        <v>0</v>
      </c>
      <c r="F123" s="90">
        <v>1</v>
      </c>
      <c r="G123" s="90">
        <v>1</v>
      </c>
      <c r="H123" s="90">
        <v>0</v>
      </c>
    </row>
    <row r="124" spans="1:8" x14ac:dyDescent="0.25">
      <c r="C124" s="5" t="s">
        <v>336</v>
      </c>
      <c r="D124" s="90">
        <f t="shared" ref="D124:E130" si="3">IF($C14="Affected fraction",D14,IF(D14=1,1,D14*1.05))</f>
        <v>0</v>
      </c>
      <c r="E124" s="90">
        <f t="shared" si="3"/>
        <v>0</v>
      </c>
      <c r="F124" s="90">
        <v>0.45</v>
      </c>
      <c r="G124" s="90">
        <v>0.45</v>
      </c>
      <c r="H124" s="90">
        <f>IF($C14="Affected fraction",H14,IF(H14=1,1,H14*1.05))</f>
        <v>0</v>
      </c>
    </row>
    <row r="125" spans="1:8" x14ac:dyDescent="0.25">
      <c r="B125" s="5" t="s">
        <v>209</v>
      </c>
      <c r="C125" s="5" t="s">
        <v>334</v>
      </c>
      <c r="D125" s="90">
        <f t="shared" si="3"/>
        <v>0</v>
      </c>
      <c r="E125" s="90">
        <f t="shared" si="3"/>
        <v>0</v>
      </c>
      <c r="F125" s="90">
        <f>IF($C15="Affected fraction",F15,IF(F15=1,1,F15*1.05))</f>
        <v>1</v>
      </c>
      <c r="G125" s="90">
        <f>IF($C15="Affected fraction",G15,IF(G15=1,1,G15*1.05))</f>
        <v>1</v>
      </c>
      <c r="H125" s="90">
        <f>IF($C15="Affected fraction",H15,IF(H15=1,1,H15*1.05))</f>
        <v>0</v>
      </c>
    </row>
    <row r="126" spans="1:8" x14ac:dyDescent="0.25">
      <c r="C126" s="5" t="s">
        <v>336</v>
      </c>
      <c r="D126" s="90">
        <f t="shared" si="3"/>
        <v>0</v>
      </c>
      <c r="E126" s="90">
        <f t="shared" si="3"/>
        <v>0</v>
      </c>
      <c r="F126" s="90">
        <v>0.2</v>
      </c>
      <c r="G126" s="90">
        <v>0.2</v>
      </c>
      <c r="H126" s="90">
        <f>IF($C16="Affected fraction",H16,IF(H16=1,1,H16*1.05))</f>
        <v>0</v>
      </c>
    </row>
    <row r="127" spans="1:8" x14ac:dyDescent="0.25">
      <c r="A127" s="5" t="s">
        <v>170</v>
      </c>
      <c r="B127" s="5" t="s">
        <v>208</v>
      </c>
      <c r="C127" s="5" t="s">
        <v>334</v>
      </c>
      <c r="D127" s="90">
        <f t="shared" si="3"/>
        <v>0</v>
      </c>
      <c r="E127" s="90">
        <f t="shared" si="3"/>
        <v>0</v>
      </c>
      <c r="F127" s="90">
        <f>IF($C17="Affected fraction",F17,IF(F17=1,1,F17*1.05))</f>
        <v>1</v>
      </c>
      <c r="G127" s="90">
        <f>IF($C17="Affected fraction",G17,IF(G17=1,1,G17*1.05))</f>
        <v>1</v>
      </c>
      <c r="H127" s="90">
        <f>IF($C17="Affected fraction",H17,IF(H17=1,1,H17*1.05))</f>
        <v>1</v>
      </c>
    </row>
    <row r="128" spans="1:8" x14ac:dyDescent="0.25">
      <c r="C128" s="5" t="s">
        <v>336</v>
      </c>
      <c r="D128" s="90">
        <f t="shared" si="3"/>
        <v>0</v>
      </c>
      <c r="E128" s="90">
        <f t="shared" si="3"/>
        <v>0</v>
      </c>
      <c r="F128" s="90">
        <v>0.84</v>
      </c>
      <c r="G128" s="90">
        <v>0.84</v>
      </c>
      <c r="H128" s="90">
        <v>0.84</v>
      </c>
    </row>
    <row r="129" spans="1:8" x14ac:dyDescent="0.25">
      <c r="B129" s="5" t="s">
        <v>209</v>
      </c>
      <c r="C129" s="5" t="s">
        <v>334</v>
      </c>
      <c r="D129" s="90">
        <f t="shared" si="3"/>
        <v>0</v>
      </c>
      <c r="E129" s="90">
        <f t="shared" si="3"/>
        <v>0</v>
      </c>
      <c r="F129" s="90">
        <f>IF($C74="Affected fraction",F74,IF(F74=1,1,F74*0.9))</f>
        <v>1</v>
      </c>
      <c r="G129" s="90">
        <f>IF($C74="Affected fraction",G74,IF(G74=1,1,G74*0.9))</f>
        <v>1</v>
      </c>
      <c r="H129" s="90">
        <f>IF($C74="Affected fraction",H74,IF(H74=1,1,H74*0.9))</f>
        <v>1</v>
      </c>
    </row>
    <row r="130" spans="1:8" x14ac:dyDescent="0.25">
      <c r="C130" s="5" t="s">
        <v>336</v>
      </c>
      <c r="D130" s="90">
        <f t="shared" si="3"/>
        <v>0</v>
      </c>
      <c r="E130" s="90">
        <f t="shared" si="3"/>
        <v>0</v>
      </c>
      <c r="F130" s="90">
        <v>0.77</v>
      </c>
      <c r="G130" s="90">
        <v>0.77</v>
      </c>
      <c r="H130" s="90">
        <v>0.77</v>
      </c>
    </row>
    <row r="131" spans="1:8" x14ac:dyDescent="0.25">
      <c r="A131" s="5" t="s">
        <v>175</v>
      </c>
      <c r="B131" s="5" t="s">
        <v>84</v>
      </c>
      <c r="C131" s="5" t="s">
        <v>334</v>
      </c>
      <c r="D131" s="90">
        <f>IF($C76="Affected fraction",D76,IF(D76=1,1,D76*0.9))</f>
        <v>1</v>
      </c>
      <c r="E131" s="90">
        <f t="shared" ref="E131:H136" si="4">IF($C21="Affected fraction",E21,IF(E21=1,1,E21*1.05))</f>
        <v>0</v>
      </c>
      <c r="F131" s="90">
        <f t="shared" si="4"/>
        <v>0</v>
      </c>
      <c r="G131" s="90">
        <f t="shared" si="4"/>
        <v>0</v>
      </c>
      <c r="H131" s="90">
        <f t="shared" si="4"/>
        <v>0</v>
      </c>
    </row>
    <row r="132" spans="1:8" x14ac:dyDescent="0.25">
      <c r="C132" s="5" t="s">
        <v>335</v>
      </c>
      <c r="D132" s="90">
        <v>0.16</v>
      </c>
      <c r="E132" s="90">
        <f t="shared" si="4"/>
        <v>0</v>
      </c>
      <c r="F132" s="90">
        <f t="shared" si="4"/>
        <v>0</v>
      </c>
      <c r="G132" s="90">
        <f t="shared" si="4"/>
        <v>0</v>
      </c>
      <c r="H132" s="90">
        <f t="shared" si="4"/>
        <v>0</v>
      </c>
    </row>
    <row r="133" spans="1:8" x14ac:dyDescent="0.25">
      <c r="A133" s="5" t="s">
        <v>173</v>
      </c>
      <c r="B133" s="5" t="s">
        <v>84</v>
      </c>
      <c r="C133" s="5" t="s">
        <v>334</v>
      </c>
      <c r="D133" s="90">
        <f>IF($C78="Affected fraction",D78,IF(D78=1,1,D78*0.9))</f>
        <v>1</v>
      </c>
      <c r="E133" s="90">
        <f t="shared" si="4"/>
        <v>0</v>
      </c>
      <c r="F133" s="90">
        <f t="shared" si="4"/>
        <v>0</v>
      </c>
      <c r="G133" s="90">
        <f t="shared" si="4"/>
        <v>0</v>
      </c>
      <c r="H133" s="90">
        <f t="shared" si="4"/>
        <v>0</v>
      </c>
    </row>
    <row r="134" spans="1:8" x14ac:dyDescent="0.25">
      <c r="C134" s="5" t="s">
        <v>335</v>
      </c>
      <c r="D134" s="90">
        <v>0.16</v>
      </c>
      <c r="E134" s="90">
        <f t="shared" si="4"/>
        <v>0</v>
      </c>
      <c r="F134" s="90">
        <f t="shared" si="4"/>
        <v>0</v>
      </c>
      <c r="G134" s="90">
        <f t="shared" si="4"/>
        <v>0</v>
      </c>
      <c r="H134" s="90">
        <f t="shared" si="4"/>
        <v>0</v>
      </c>
    </row>
    <row r="135" spans="1:8" x14ac:dyDescent="0.25">
      <c r="A135" s="5" t="s">
        <v>174</v>
      </c>
      <c r="B135" s="5" t="s">
        <v>84</v>
      </c>
      <c r="C135" s="5" t="s">
        <v>334</v>
      </c>
      <c r="D135" s="90">
        <f>IF($C80="Affected fraction",D80,IF(D80=1,1,D80*0.9))</f>
        <v>1</v>
      </c>
      <c r="E135" s="90">
        <f t="shared" si="4"/>
        <v>0</v>
      </c>
      <c r="F135" s="90">
        <f t="shared" si="4"/>
        <v>0</v>
      </c>
      <c r="G135" s="90">
        <f t="shared" si="4"/>
        <v>0</v>
      </c>
      <c r="H135" s="90">
        <f t="shared" si="4"/>
        <v>0</v>
      </c>
    </row>
    <row r="136" spans="1:8" x14ac:dyDescent="0.25">
      <c r="C136" s="5" t="s">
        <v>335</v>
      </c>
      <c r="D136" s="90">
        <v>0.16</v>
      </c>
      <c r="E136" s="90">
        <f t="shared" si="4"/>
        <v>0</v>
      </c>
      <c r="F136" s="90">
        <f t="shared" si="4"/>
        <v>0</v>
      </c>
      <c r="G136" s="90">
        <f t="shared" si="4"/>
        <v>0</v>
      </c>
      <c r="H136" s="90">
        <f t="shared" si="4"/>
        <v>0</v>
      </c>
    </row>
    <row r="137" spans="1:8" x14ac:dyDescent="0.25">
      <c r="A137" s="5" t="s">
        <v>197</v>
      </c>
      <c r="B137" s="5" t="s">
        <v>87</v>
      </c>
      <c r="C137" s="5" t="s">
        <v>334</v>
      </c>
      <c r="D137" s="90">
        <v>1</v>
      </c>
      <c r="E137" s="90">
        <v>1</v>
      </c>
      <c r="F137" s="90">
        <v>1</v>
      </c>
      <c r="G137" s="90">
        <v>1</v>
      </c>
      <c r="H137" s="90">
        <v>1</v>
      </c>
    </row>
    <row r="138" spans="1:8" x14ac:dyDescent="0.25">
      <c r="C138" s="5" t="s">
        <v>335</v>
      </c>
      <c r="D138" s="90">
        <v>0</v>
      </c>
      <c r="E138" s="90">
        <v>0</v>
      </c>
      <c r="F138" s="90">
        <v>0</v>
      </c>
      <c r="G138" s="90">
        <v>0</v>
      </c>
      <c r="H138" s="90">
        <v>0</v>
      </c>
    </row>
    <row r="139" spans="1:8" x14ac:dyDescent="0.25">
      <c r="C139" s="5" t="s">
        <v>336</v>
      </c>
      <c r="D139" s="90">
        <v>0</v>
      </c>
      <c r="E139" s="90">
        <v>0</v>
      </c>
      <c r="F139" s="90">
        <v>0</v>
      </c>
      <c r="G139" s="90">
        <v>0</v>
      </c>
      <c r="H139" s="90">
        <v>0</v>
      </c>
    </row>
    <row r="140" spans="1:8" x14ac:dyDescent="0.25">
      <c r="A140" s="5" t="s">
        <v>198</v>
      </c>
      <c r="B140" s="5" t="s">
        <v>87</v>
      </c>
      <c r="C140" s="5" t="s">
        <v>334</v>
      </c>
      <c r="D140" s="90">
        <v>1</v>
      </c>
      <c r="E140" s="90">
        <v>1</v>
      </c>
      <c r="F140" s="90">
        <v>1</v>
      </c>
      <c r="G140" s="90">
        <v>1</v>
      </c>
      <c r="H140" s="90">
        <v>1</v>
      </c>
    </row>
    <row r="141" spans="1:8" x14ac:dyDescent="0.25">
      <c r="C141" s="5" t="s">
        <v>335</v>
      </c>
      <c r="D141" s="90">
        <v>0</v>
      </c>
      <c r="E141" s="90">
        <v>0</v>
      </c>
      <c r="F141" s="90">
        <v>0</v>
      </c>
      <c r="G141" s="90">
        <v>0</v>
      </c>
      <c r="H141" s="90">
        <v>0</v>
      </c>
    </row>
    <row r="142" spans="1:8" x14ac:dyDescent="0.25">
      <c r="C142" s="5" t="s">
        <v>336</v>
      </c>
      <c r="D142" s="90">
        <v>0</v>
      </c>
      <c r="E142" s="90">
        <v>0</v>
      </c>
      <c r="F142" s="90">
        <v>0</v>
      </c>
      <c r="G142" s="90">
        <v>0</v>
      </c>
      <c r="H142" s="90">
        <v>0</v>
      </c>
    </row>
    <row r="143" spans="1:8" x14ac:dyDescent="0.25">
      <c r="A143" s="5" t="s">
        <v>196</v>
      </c>
      <c r="B143" s="5" t="s">
        <v>87</v>
      </c>
      <c r="C143" s="5" t="s">
        <v>334</v>
      </c>
      <c r="D143" s="90">
        <v>1</v>
      </c>
      <c r="E143" s="90">
        <v>1</v>
      </c>
      <c r="F143" s="90">
        <v>1</v>
      </c>
      <c r="G143" s="90">
        <v>1</v>
      </c>
      <c r="H143" s="90">
        <v>1</v>
      </c>
    </row>
    <row r="144" spans="1:8" x14ac:dyDescent="0.25">
      <c r="C144" s="5" t="s">
        <v>335</v>
      </c>
      <c r="D144" s="90">
        <v>0</v>
      </c>
      <c r="E144" s="90">
        <v>0</v>
      </c>
      <c r="F144" s="90">
        <v>0</v>
      </c>
      <c r="G144" s="90">
        <v>0</v>
      </c>
      <c r="H144" s="90">
        <v>0</v>
      </c>
    </row>
    <row r="145" spans="1:8" x14ac:dyDescent="0.25">
      <c r="C145" s="5" t="s">
        <v>336</v>
      </c>
      <c r="D145" s="90">
        <v>0</v>
      </c>
      <c r="E145" s="90">
        <v>0</v>
      </c>
      <c r="F145" s="90">
        <v>0</v>
      </c>
      <c r="G145" s="90">
        <v>0</v>
      </c>
      <c r="H145" s="90">
        <v>0</v>
      </c>
    </row>
    <row r="146" spans="1:8" x14ac:dyDescent="0.25">
      <c r="A146" s="5" t="s">
        <v>195</v>
      </c>
      <c r="B146" s="5" t="s">
        <v>87</v>
      </c>
      <c r="C146" s="5" t="s">
        <v>334</v>
      </c>
      <c r="D146" s="90">
        <v>1</v>
      </c>
      <c r="E146" s="90">
        <v>1</v>
      </c>
      <c r="F146" s="90">
        <v>1</v>
      </c>
      <c r="G146" s="90">
        <v>1</v>
      </c>
      <c r="H146" s="90">
        <v>1</v>
      </c>
    </row>
    <row r="147" spans="1:8" x14ac:dyDescent="0.25">
      <c r="C147" s="5" t="s">
        <v>335</v>
      </c>
      <c r="D147" s="90">
        <v>0</v>
      </c>
      <c r="E147" s="90">
        <v>0</v>
      </c>
      <c r="F147" s="90">
        <v>0</v>
      </c>
      <c r="G147" s="90">
        <v>0</v>
      </c>
      <c r="H147" s="90">
        <v>0</v>
      </c>
    </row>
    <row r="148" spans="1:8" x14ac:dyDescent="0.25">
      <c r="C148" s="5" t="s">
        <v>336</v>
      </c>
      <c r="D148" s="90">
        <v>0</v>
      </c>
      <c r="E148" s="90">
        <v>0</v>
      </c>
      <c r="F148" s="90">
        <v>0</v>
      </c>
      <c r="G148" s="90">
        <v>0</v>
      </c>
      <c r="H148" s="90">
        <v>0</v>
      </c>
    </row>
    <row r="149" spans="1:8" x14ac:dyDescent="0.25">
      <c r="A149" s="5" t="s">
        <v>194</v>
      </c>
      <c r="B149" s="5" t="s">
        <v>87</v>
      </c>
      <c r="C149" s="5" t="s">
        <v>334</v>
      </c>
      <c r="D149" s="90">
        <v>1</v>
      </c>
      <c r="E149" s="90">
        <v>1</v>
      </c>
      <c r="F149" s="90">
        <v>1</v>
      </c>
      <c r="G149" s="90">
        <v>1</v>
      </c>
      <c r="H149" s="90">
        <v>1</v>
      </c>
    </row>
    <row r="150" spans="1:8" x14ac:dyDescent="0.25">
      <c r="C150" s="5" t="s">
        <v>335</v>
      </c>
      <c r="D150" s="90">
        <v>0</v>
      </c>
      <c r="E150" s="90">
        <v>0</v>
      </c>
      <c r="F150" s="90">
        <v>0</v>
      </c>
      <c r="G150" s="90">
        <v>0</v>
      </c>
      <c r="H150" s="90">
        <v>0</v>
      </c>
    </row>
    <row r="151" spans="1:8" x14ac:dyDescent="0.25">
      <c r="C151" s="5" t="s">
        <v>336</v>
      </c>
      <c r="D151" s="90">
        <v>0</v>
      </c>
      <c r="E151" s="90">
        <v>0</v>
      </c>
      <c r="F151" s="90">
        <v>0</v>
      </c>
      <c r="G151" s="90">
        <v>0</v>
      </c>
      <c r="H151" s="90">
        <v>0</v>
      </c>
    </row>
    <row r="152" spans="1:8" x14ac:dyDescent="0.25">
      <c r="A152" s="5" t="s">
        <v>200</v>
      </c>
      <c r="B152" s="5" t="s">
        <v>87</v>
      </c>
      <c r="C152" s="5" t="s">
        <v>334</v>
      </c>
      <c r="D152" s="90">
        <f t="shared" ref="D152:H153" si="5">IF($C97="Affected fraction",D97,IF(D97=1,1,D97*0.9))</f>
        <v>0</v>
      </c>
      <c r="E152" s="90">
        <f t="shared" si="5"/>
        <v>1</v>
      </c>
      <c r="F152" s="90">
        <f t="shared" si="5"/>
        <v>1</v>
      </c>
      <c r="G152" s="90">
        <f t="shared" si="5"/>
        <v>1</v>
      </c>
      <c r="H152" s="90">
        <f t="shared" si="5"/>
        <v>1</v>
      </c>
    </row>
    <row r="153" spans="1:8" x14ac:dyDescent="0.25">
      <c r="C153" s="5" t="s">
        <v>335</v>
      </c>
      <c r="D153" s="90">
        <f t="shared" si="5"/>
        <v>0</v>
      </c>
      <c r="E153" s="90">
        <f t="shared" si="5"/>
        <v>0</v>
      </c>
      <c r="F153" s="90">
        <f t="shared" si="5"/>
        <v>0</v>
      </c>
      <c r="G153" s="90">
        <f t="shared" si="5"/>
        <v>0</v>
      </c>
      <c r="H153" s="90">
        <f t="shared" si="5"/>
        <v>0</v>
      </c>
    </row>
    <row r="154" spans="1:8" x14ac:dyDescent="0.25">
      <c r="C154" s="5" t="s">
        <v>336</v>
      </c>
      <c r="D154" s="90">
        <v>0.1</v>
      </c>
      <c r="E154" s="90">
        <v>0.1</v>
      </c>
      <c r="F154" s="90">
        <v>0.1</v>
      </c>
      <c r="G154" s="90">
        <v>0.1</v>
      </c>
      <c r="H154" s="90">
        <v>0.1</v>
      </c>
    </row>
    <row r="155" spans="1:8" x14ac:dyDescent="0.25">
      <c r="B155" s="5" t="s">
        <v>88</v>
      </c>
      <c r="C155" s="5" t="s">
        <v>334</v>
      </c>
      <c r="D155" s="90">
        <v>0</v>
      </c>
      <c r="E155" s="90">
        <v>1</v>
      </c>
      <c r="F155" s="90">
        <v>1</v>
      </c>
      <c r="G155" s="90">
        <v>1</v>
      </c>
      <c r="H155" s="90">
        <v>1</v>
      </c>
    </row>
    <row r="156" spans="1:8" x14ac:dyDescent="0.25">
      <c r="C156" s="5" t="s">
        <v>335</v>
      </c>
      <c r="D156" s="90">
        <v>0</v>
      </c>
      <c r="E156" s="90">
        <v>0</v>
      </c>
      <c r="F156" s="90">
        <v>0</v>
      </c>
      <c r="G156" s="90">
        <v>0</v>
      </c>
      <c r="H156" s="90">
        <v>0</v>
      </c>
    </row>
    <row r="157" spans="1:8" x14ac:dyDescent="0.25">
      <c r="C157" s="5" t="s">
        <v>336</v>
      </c>
      <c r="D157" s="90">
        <v>0</v>
      </c>
      <c r="E157" s="90">
        <v>0</v>
      </c>
      <c r="F157" s="90">
        <v>0</v>
      </c>
      <c r="G157" s="90">
        <v>0</v>
      </c>
      <c r="H157" s="90">
        <v>0</v>
      </c>
    </row>
    <row r="158" spans="1:8" x14ac:dyDescent="0.25">
      <c r="A158" s="5" t="s">
        <v>191</v>
      </c>
      <c r="B158" s="5" t="s">
        <v>87</v>
      </c>
      <c r="C158" s="5" t="s">
        <v>334</v>
      </c>
      <c r="D158" s="90">
        <v>1</v>
      </c>
      <c r="E158" s="90">
        <v>1</v>
      </c>
      <c r="F158" s="90">
        <v>1</v>
      </c>
      <c r="G158" s="90">
        <v>1</v>
      </c>
      <c r="H158" s="90">
        <v>1</v>
      </c>
    </row>
    <row r="159" spans="1:8" x14ac:dyDescent="0.25">
      <c r="C159" s="5" t="s">
        <v>335</v>
      </c>
      <c r="D159" s="90">
        <v>0.8</v>
      </c>
      <c r="E159" s="90">
        <v>0.8</v>
      </c>
      <c r="F159" s="90">
        <v>0.8</v>
      </c>
      <c r="G159" s="90">
        <v>0.8</v>
      </c>
      <c r="H159" s="90">
        <v>0.8</v>
      </c>
    </row>
    <row r="160" spans="1:8" x14ac:dyDescent="0.25">
      <c r="A160" s="5" t="s">
        <v>199</v>
      </c>
      <c r="B160" s="5" t="s">
        <v>87</v>
      </c>
      <c r="C160" s="5" t="s">
        <v>334</v>
      </c>
      <c r="D160" s="90">
        <v>1</v>
      </c>
      <c r="E160" s="90">
        <v>1</v>
      </c>
      <c r="F160" s="90">
        <v>1</v>
      </c>
      <c r="G160" s="90">
        <v>1</v>
      </c>
      <c r="H160" s="90">
        <v>1</v>
      </c>
    </row>
    <row r="161" spans="1:8" x14ac:dyDescent="0.25">
      <c r="C161" s="5" t="s">
        <v>335</v>
      </c>
      <c r="D161" s="90">
        <v>0.85</v>
      </c>
      <c r="E161" s="90">
        <v>0.85</v>
      </c>
      <c r="F161" s="90">
        <v>0.85</v>
      </c>
      <c r="G161" s="90">
        <v>0.85</v>
      </c>
      <c r="H161" s="90">
        <v>0.85</v>
      </c>
    </row>
    <row r="162" spans="1:8" x14ac:dyDescent="0.25">
      <c r="A162" s="5" t="s">
        <v>184</v>
      </c>
      <c r="B162" s="5" t="s">
        <v>82</v>
      </c>
      <c r="C162" s="5" t="s">
        <v>334</v>
      </c>
      <c r="D162" s="90">
        <v>1</v>
      </c>
      <c r="E162" s="90">
        <v>0</v>
      </c>
      <c r="F162" s="90">
        <v>0</v>
      </c>
      <c r="G162" s="90">
        <v>0</v>
      </c>
      <c r="H162" s="90">
        <v>0</v>
      </c>
    </row>
    <row r="163" spans="1:8" x14ac:dyDescent="0.25">
      <c r="C163" s="5" t="s">
        <v>335</v>
      </c>
      <c r="D163" s="90">
        <v>0.71</v>
      </c>
      <c r="E163" s="90">
        <v>0</v>
      </c>
      <c r="F163" s="90">
        <v>0</v>
      </c>
      <c r="G163" s="90">
        <v>0</v>
      </c>
      <c r="H163" s="90">
        <v>0</v>
      </c>
    </row>
  </sheetData>
  <sheetProtection algorithmName="SHA-512" hashValue="HCAlPRdYTu74NopqR31xCbTPoMSOXQiCDAkX8IJ/YPDHLfxib0uyNBUJ2QqOZJQbi/LTGcBenftiLam4TBPi8g==" saltValue="AqfZkhQHbRl8E94WFQiFG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zoomScale="85" zoomScaleNormal="85" workbookViewId="0">
      <selection activeCell="D2" sqref="D2"/>
    </sheetView>
  </sheetViews>
  <sheetFormatPr defaultColWidth="12.81640625" defaultRowHeight="12.5" x14ac:dyDescent="0.25"/>
  <cols>
    <col min="1" max="1" width="28" style="8" customWidth="1"/>
    <col min="2" max="2" width="27.453125" style="8" customWidth="1"/>
    <col min="3" max="3" width="23.6328125" style="8" customWidth="1"/>
    <col min="4" max="7" width="17.1796875" style="8" customWidth="1"/>
    <col min="8" max="8" width="12.81640625" style="8" customWidth="1"/>
    <col min="9" max="16384" width="12.81640625" style="8"/>
  </cols>
  <sheetData>
    <row r="1" spans="1:8" ht="13" customHeight="1" x14ac:dyDescent="0.3">
      <c r="A1" s="1" t="s">
        <v>160</v>
      </c>
      <c r="B1" s="1" t="s">
        <v>333</v>
      </c>
      <c r="C1" s="1"/>
      <c r="D1" s="4" t="s">
        <v>122</v>
      </c>
      <c r="E1" s="4" t="s">
        <v>123</v>
      </c>
      <c r="F1" s="4" t="s">
        <v>124</v>
      </c>
      <c r="G1" s="4" t="s">
        <v>125</v>
      </c>
      <c r="H1" s="4"/>
    </row>
    <row r="2" spans="1:8" ht="13.25" customHeight="1" x14ac:dyDescent="0.25">
      <c r="A2" s="3" t="s">
        <v>169</v>
      </c>
      <c r="B2" s="8" t="s">
        <v>104</v>
      </c>
      <c r="C2" s="3" t="s">
        <v>334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ht="13.25" customHeight="1" x14ac:dyDescent="0.25">
      <c r="C3" s="8" t="s">
        <v>335</v>
      </c>
      <c r="D3" s="90">
        <v>0.83</v>
      </c>
      <c r="E3" s="90">
        <v>0.83</v>
      </c>
      <c r="F3" s="90">
        <v>0.83</v>
      </c>
      <c r="G3" s="90">
        <v>0.83</v>
      </c>
      <c r="H3" s="3"/>
    </row>
    <row r="4" spans="1:8" ht="13.25" customHeight="1" x14ac:dyDescent="0.25">
      <c r="A4" s="3" t="s">
        <v>188</v>
      </c>
      <c r="B4" s="8" t="s">
        <v>104</v>
      </c>
      <c r="C4" s="3" t="s">
        <v>334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ht="13.25" customHeight="1" x14ac:dyDescent="0.25">
      <c r="C5" s="8" t="s">
        <v>335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ht="13.25" customHeight="1" x14ac:dyDescent="0.25">
      <c r="A6" s="3" t="s">
        <v>187</v>
      </c>
      <c r="B6" s="8" t="s">
        <v>104</v>
      </c>
      <c r="C6" s="3" t="s">
        <v>334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ht="13.25" customHeight="1" x14ac:dyDescent="0.25">
      <c r="C7" s="8" t="s">
        <v>335</v>
      </c>
      <c r="D7" s="90">
        <v>0.59</v>
      </c>
      <c r="E7" s="90">
        <v>0.59</v>
      </c>
      <c r="F7" s="90">
        <v>0.59</v>
      </c>
      <c r="G7" s="90">
        <v>0.59</v>
      </c>
      <c r="H7" s="3"/>
    </row>
    <row r="9" spans="1:8" s="92" customFormat="1" ht="13" customHeight="1" x14ac:dyDescent="0.3">
      <c r="A9" s="92" t="s">
        <v>331</v>
      </c>
    </row>
    <row r="10" spans="1:8" ht="13" customHeight="1" x14ac:dyDescent="0.3">
      <c r="A10" s="1" t="s">
        <v>160</v>
      </c>
      <c r="B10" s="1" t="s">
        <v>333</v>
      </c>
      <c r="C10" s="1"/>
      <c r="D10" s="4" t="s">
        <v>122</v>
      </c>
      <c r="E10" s="4" t="s">
        <v>123</v>
      </c>
      <c r="F10" s="4" t="s">
        <v>124</v>
      </c>
      <c r="G10" s="4" t="s">
        <v>125</v>
      </c>
    </row>
    <row r="11" spans="1:8" ht="13.25" customHeight="1" x14ac:dyDescent="0.25">
      <c r="A11" s="3" t="s">
        <v>169</v>
      </c>
      <c r="B11" s="8" t="s">
        <v>104</v>
      </c>
      <c r="C11" s="3" t="s">
        <v>334</v>
      </c>
      <c r="D11" s="90">
        <f>IF($C2="Affected fraction",D2,IF(D2=1,1,D2*0.9))</f>
        <v>1</v>
      </c>
      <c r="E11" s="90">
        <f>IF($C2="Affected fraction",E2,IF(E2=1,1,E2*0.9))</f>
        <v>1</v>
      </c>
      <c r="F11" s="90">
        <f>IF($C2="Affected fraction",F2,IF(F2=1,1,F2*0.9))</f>
        <v>1</v>
      </c>
      <c r="G11" s="90">
        <f>IF($C2="Affected fraction",G2,IF(G2=1,1,G2*0.9))</f>
        <v>1</v>
      </c>
    </row>
    <row r="12" spans="1:8" ht="13.25" customHeight="1" x14ac:dyDescent="0.25">
      <c r="C12" s="8" t="s">
        <v>335</v>
      </c>
      <c r="D12" s="90">
        <v>0</v>
      </c>
      <c r="E12" s="90">
        <v>0</v>
      </c>
      <c r="F12" s="90">
        <v>0</v>
      </c>
      <c r="G12" s="90">
        <v>0</v>
      </c>
    </row>
    <row r="13" spans="1:8" ht="13.25" customHeight="1" x14ac:dyDescent="0.25">
      <c r="A13" s="3" t="s">
        <v>188</v>
      </c>
      <c r="B13" s="8" t="s">
        <v>104</v>
      </c>
      <c r="C13" s="3" t="s">
        <v>334</v>
      </c>
      <c r="D13" s="90">
        <f t="shared" ref="D13:G16" si="0">IF($C4="Affected fraction",D4,IF(D4=1,1,D4*0.9))</f>
        <v>1</v>
      </c>
      <c r="E13" s="90">
        <f t="shared" si="0"/>
        <v>1</v>
      </c>
      <c r="F13" s="90">
        <f t="shared" si="0"/>
        <v>1</v>
      </c>
      <c r="G13" s="90">
        <f t="shared" si="0"/>
        <v>1</v>
      </c>
    </row>
    <row r="14" spans="1:8" ht="13.25" customHeight="1" x14ac:dyDescent="0.25">
      <c r="C14" s="8" t="s">
        <v>335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ht="13.25" customHeight="1" x14ac:dyDescent="0.25">
      <c r="A15" s="3" t="s">
        <v>187</v>
      </c>
      <c r="B15" s="8" t="s">
        <v>104</v>
      </c>
      <c r="C15" s="3" t="s">
        <v>334</v>
      </c>
      <c r="D15" s="90">
        <f t="shared" si="0"/>
        <v>1</v>
      </c>
      <c r="E15" s="90">
        <f t="shared" si="0"/>
        <v>1</v>
      </c>
      <c r="F15" s="90">
        <f t="shared" si="0"/>
        <v>1</v>
      </c>
      <c r="G15" s="90">
        <f t="shared" si="0"/>
        <v>1</v>
      </c>
    </row>
    <row r="16" spans="1:8" ht="13.25" customHeight="1" x14ac:dyDescent="0.25">
      <c r="C16" s="8" t="s">
        <v>335</v>
      </c>
      <c r="D16" s="90">
        <f t="shared" si="0"/>
        <v>0.53100000000000003</v>
      </c>
      <c r="E16" s="90">
        <f t="shared" si="0"/>
        <v>0.53100000000000003</v>
      </c>
      <c r="F16" s="90">
        <f t="shared" si="0"/>
        <v>0.53100000000000003</v>
      </c>
      <c r="G16" s="90">
        <f t="shared" si="0"/>
        <v>0.53100000000000003</v>
      </c>
    </row>
    <row r="18" spans="1:7" s="92" customFormat="1" ht="13" customHeight="1" x14ac:dyDescent="0.3">
      <c r="A18" s="92" t="s">
        <v>332</v>
      </c>
    </row>
    <row r="19" spans="1:7" ht="13" customHeight="1" x14ac:dyDescent="0.3">
      <c r="A19" s="1" t="s">
        <v>160</v>
      </c>
      <c r="B19" s="1" t="s">
        <v>333</v>
      </c>
      <c r="C19" s="1"/>
      <c r="D19" s="4" t="s">
        <v>122</v>
      </c>
      <c r="E19" s="4" t="s">
        <v>123</v>
      </c>
      <c r="F19" s="4" t="s">
        <v>124</v>
      </c>
      <c r="G19" s="4" t="s">
        <v>125</v>
      </c>
    </row>
    <row r="20" spans="1:7" ht="13.25" customHeight="1" x14ac:dyDescent="0.25">
      <c r="A20" s="3" t="s">
        <v>169</v>
      </c>
      <c r="B20" s="8" t="s">
        <v>104</v>
      </c>
      <c r="C20" s="3" t="s">
        <v>334</v>
      </c>
      <c r="D20" s="90">
        <f>IF($C2="Affected fraction",D2,IF(D2=1,1,D2*1.05))</f>
        <v>1</v>
      </c>
      <c r="E20" s="90">
        <f>IF($C2="Affected fraction",E2,IF(E2=1,1,E2*1.05))</f>
        <v>1</v>
      </c>
      <c r="F20" s="90">
        <f>IF($C2="Affected fraction",F2,IF(F2=1,1,F2*1.05))</f>
        <v>1</v>
      </c>
      <c r="G20" s="90">
        <f>IF($C2="Affected fraction",G2,IF(G2=1,1,G2*1.05))</f>
        <v>1</v>
      </c>
    </row>
    <row r="21" spans="1:7" ht="13.25" customHeight="1" x14ac:dyDescent="0.25">
      <c r="C21" s="8" t="s">
        <v>335</v>
      </c>
      <c r="D21" s="90">
        <v>0.98</v>
      </c>
      <c r="E21" s="90">
        <v>0.98</v>
      </c>
      <c r="F21" s="90">
        <v>0.98</v>
      </c>
      <c r="G21" s="90">
        <v>0.98</v>
      </c>
    </row>
    <row r="22" spans="1:7" ht="13.25" customHeight="1" x14ac:dyDescent="0.25">
      <c r="A22" s="3" t="s">
        <v>188</v>
      </c>
      <c r="B22" s="8" t="s">
        <v>104</v>
      </c>
      <c r="C22" s="3" t="s">
        <v>334</v>
      </c>
      <c r="D22" s="90">
        <f>IF($C4="Affected fraction",D4,IF(D4=1,1,D4*1.05))</f>
        <v>1</v>
      </c>
      <c r="E22" s="90">
        <f>IF($C4="Affected fraction",E4,IF(E4=1,1,E4*1.05))</f>
        <v>1</v>
      </c>
      <c r="F22" s="90">
        <f>IF($C4="Affected fraction",F4,IF(F4=1,1,F4*1.05))</f>
        <v>1</v>
      </c>
      <c r="G22" s="90">
        <f>IF($C4="Affected fraction",G4,IF(G4=1,1,G4*1.05))</f>
        <v>1</v>
      </c>
    </row>
    <row r="23" spans="1:7" ht="13.25" customHeight="1" x14ac:dyDescent="0.25">
      <c r="C23" s="8" t="s">
        <v>335</v>
      </c>
      <c r="D23" s="90">
        <f>IF($C5="Affected fraction",D5,IF(D5=1,1,D5*1.1))</f>
        <v>0.64900000000000002</v>
      </c>
      <c r="E23" s="90">
        <f>IF($C5="Affected fraction",E5,IF(E5=1,1,E5*1.1))</f>
        <v>0.64900000000000002</v>
      </c>
      <c r="F23" s="90">
        <f>IF($C5="Affected fraction",F5,IF(F5=1,1,F5*1.1))</f>
        <v>0.64900000000000002</v>
      </c>
      <c r="G23" s="90">
        <f>IF($C5="Affected fraction",G5,IF(G5=1,1,G5*1.1))</f>
        <v>0.64900000000000002</v>
      </c>
    </row>
    <row r="24" spans="1:7" ht="13.25" customHeight="1" x14ac:dyDescent="0.25">
      <c r="A24" s="3" t="s">
        <v>187</v>
      </c>
      <c r="B24" s="8" t="s">
        <v>104</v>
      </c>
      <c r="C24" s="3" t="s">
        <v>334</v>
      </c>
      <c r="D24" s="90">
        <f>IF($C6="Affected fraction",D6,IF(D6=1,1,D6*1.05))</f>
        <v>1</v>
      </c>
      <c r="E24" s="90">
        <f>IF($C6="Affected fraction",E6,IF(E6=1,1,E6*1.05))</f>
        <v>1</v>
      </c>
      <c r="F24" s="90">
        <f>IF($C6="Affected fraction",F6,IF(F6=1,1,F6*1.05))</f>
        <v>1</v>
      </c>
      <c r="G24" s="90">
        <f>IF($C6="Affected fraction",G6,IF(G6=1,1,G6*1.05))</f>
        <v>1</v>
      </c>
    </row>
    <row r="25" spans="1:7" ht="13.25" customHeight="1" x14ac:dyDescent="0.25">
      <c r="C25" s="8" t="s">
        <v>335</v>
      </c>
      <c r="D25" s="90">
        <f>IF($C7="Affected fraction",D7,IF(D7=1,1,D7*1.1))</f>
        <v>0.64900000000000002</v>
      </c>
      <c r="E25" s="90">
        <f>IF($C7="Affected fraction",E7,IF(E7=1,1,E7*1.1))</f>
        <v>0.64900000000000002</v>
      </c>
      <c r="F25" s="90">
        <f>IF($C7="Affected fraction",F7,IF(F7=1,1,F7*1.1))</f>
        <v>0.64900000000000002</v>
      </c>
      <c r="G25" s="90">
        <f>IF($C7="Affected fraction",G7,IF(G7=1,1,G7*1.1))</f>
        <v>0.64900000000000002</v>
      </c>
    </row>
  </sheetData>
  <sheetProtection algorithmName="SHA-512" hashValue="DLh/DIAPHuGIPm0RWtvTeC2nWJGpvmgjWXEqvTpQs5rXHrQ4MGB9HHnPgEo1tz909vTGws5FFj0usm1Qme3O9A==" saltValue="0beZ4oB0IPDXP184f3nwQA==" spinCount="100000" sheet="1" objects="1" scenarios="1" selectLockedCell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Données pop de l'année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keywords>lang=fr</cp:keywords>
  <cp:lastModifiedBy>Tharindu Wickramaarachchi</cp:lastModifiedBy>
  <dcterms:created xsi:type="dcterms:W3CDTF">2017-08-01T10:42:13Z</dcterms:created>
  <dcterms:modified xsi:type="dcterms:W3CDTF">2024-03-18T01:35:56Z</dcterms:modified>
</cp:coreProperties>
</file>