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9612E4C-D0F1-44D4-A2EC-D338924E6F9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I8" i="2" l="1"/>
  <c r="A13" i="2"/>
  <c r="A21" i="2"/>
  <c r="A29" i="2"/>
  <c r="A37" i="2"/>
  <c r="A15" i="2"/>
  <c r="A23" i="2"/>
  <c r="A31" i="2"/>
  <c r="A12" i="2"/>
  <c r="A20" i="2"/>
  <c r="A36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4" i="2"/>
  <c r="A22" i="2"/>
  <c r="A40" i="2"/>
  <c r="A17" i="2"/>
  <c r="A25" i="2"/>
  <c r="A33" i="2"/>
  <c r="A28" i="2"/>
  <c r="A30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<sst xmlns="http://schemas.openxmlformats.org/spreadsheetml/2006/main" count="2092" uniqueCount="337">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</sst>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5711753</v>
      </c>
    </row>
    <row r="8" spans="1:3" ht="15" customHeight="1" x14ac:dyDescent="0.25">
      <c r="B8" s="5" t="s">
        <v>19</v>
      </c>
      <c r="C8" s="44">
        <v>2.5000000000000001E-2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0.68451698300000008</v>
      </c>
    </row>
    <row r="11" spans="1:3" ht="15" customHeight="1" x14ac:dyDescent="0.25">
      <c r="B11" s="5" t="s">
        <v>22</v>
      </c>
      <c r="C11" s="45">
        <v>0.496</v>
      </c>
    </row>
    <row r="12" spans="1:3" ht="15" customHeight="1" x14ac:dyDescent="0.25">
      <c r="B12" s="5" t="s">
        <v>23</v>
      </c>
      <c r="C12" s="45">
        <v>0.74400000000000011</v>
      </c>
    </row>
    <row r="13" spans="1:3" ht="15" customHeight="1" x14ac:dyDescent="0.25">
      <c r="B13" s="5" t="s">
        <v>24</v>
      </c>
      <c r="C13" s="45">
        <v>0.40699999999999997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9.7699999999999995E-2</v>
      </c>
    </row>
    <row r="24" spans="1:3" ht="15" customHeight="1" x14ac:dyDescent="0.25">
      <c r="B24" s="15" t="s">
        <v>33</v>
      </c>
      <c r="C24" s="45">
        <v>0.48899999999999999</v>
      </c>
    </row>
    <row r="25" spans="1:3" ht="15" customHeight="1" x14ac:dyDescent="0.25">
      <c r="B25" s="15" t="s">
        <v>34</v>
      </c>
      <c r="C25" s="45">
        <v>0.35959999999999998</v>
      </c>
    </row>
    <row r="26" spans="1:3" ht="15" customHeight="1" x14ac:dyDescent="0.25">
      <c r="B26" s="15" t="s">
        <v>35</v>
      </c>
      <c r="C26" s="45">
        <v>5.3699999999999998E-2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0.24526484356328099</v>
      </c>
    </row>
    <row r="30" spans="1:3" ht="14.25" customHeight="1" x14ac:dyDescent="0.25">
      <c r="B30" s="25" t="s">
        <v>38</v>
      </c>
      <c r="C30" s="99">
        <v>7.1366248290898701E-2</v>
      </c>
    </row>
    <row r="31" spans="1:3" ht="14.25" customHeight="1" x14ac:dyDescent="0.25">
      <c r="B31" s="25" t="s">
        <v>39</v>
      </c>
      <c r="C31" s="99">
        <v>0.13383437787010799</v>
      </c>
    </row>
    <row r="32" spans="1:3" ht="14.25" customHeight="1" x14ac:dyDescent="0.25">
      <c r="B32" s="25" t="s">
        <v>40</v>
      </c>
      <c r="C32" s="99">
        <v>0.54953453027571197</v>
      </c>
    </row>
    <row r="33" spans="1:5" ht="13" customHeight="1" x14ac:dyDescent="0.25">
      <c r="B33" s="27" t="s">
        <v>41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15.3066514904557</v>
      </c>
    </row>
    <row r="38" spans="1:5" ht="15" customHeight="1" x14ac:dyDescent="0.25">
      <c r="B38" s="11" t="s">
        <v>45</v>
      </c>
      <c r="C38" s="43">
        <v>21.8284203458573</v>
      </c>
      <c r="D38" s="12"/>
      <c r="E38" s="13"/>
    </row>
    <row r="39" spans="1:5" ht="15" customHeight="1" x14ac:dyDescent="0.25">
      <c r="B39" s="11" t="s">
        <v>46</v>
      </c>
      <c r="C39" s="43">
        <v>25.884450658089101</v>
      </c>
      <c r="D39" s="12"/>
      <c r="E39" s="12"/>
    </row>
    <row r="40" spans="1:5" ht="15" customHeight="1" x14ac:dyDescent="0.25">
      <c r="B40" s="11" t="s">
        <v>47</v>
      </c>
      <c r="C40" s="100">
        <v>0.79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11.6649048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9.4160000000000008E-3</v>
      </c>
      <c r="D45" s="12"/>
    </row>
    <row r="46" spans="1:5" ht="15.75" customHeight="1" x14ac:dyDescent="0.25">
      <c r="B46" s="11" t="s">
        <v>52</v>
      </c>
      <c r="C46" s="45">
        <v>7.8777100000000003E-2</v>
      </c>
      <c r="D46" s="12"/>
    </row>
    <row r="47" spans="1:5" ht="15.75" customHeight="1" x14ac:dyDescent="0.25">
      <c r="B47" s="11" t="s">
        <v>53</v>
      </c>
      <c r="C47" s="45">
        <v>7.79025E-2</v>
      </c>
      <c r="D47" s="12"/>
      <c r="E47" s="13"/>
    </row>
    <row r="48" spans="1:5" ht="15" customHeight="1" x14ac:dyDescent="0.25">
      <c r="B48" s="11" t="s">
        <v>54</v>
      </c>
      <c r="C48" s="46">
        <v>0.83390439999999999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0.57473999999999992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8oYDMrMuLa5kuTwJYOooqO6wmHOs80HvUHTqAJy4JdpJRiJC2s0LVf6NAIaMyFdMQrEf6HSgQci8S73BeLBPTQ==" saltValue="rKqespjMGgo1rKeiGQlQ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0.37422817409560699</v>
      </c>
      <c r="C2" s="98">
        <v>0.95</v>
      </c>
      <c r="D2" s="56">
        <v>60.999124309244628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39.946692681048077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460.96006935232163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1.047847245616421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13.078992124843991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13.078992124843991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13.078992124843991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13.078992124843991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13.078992124843991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13.078992124843991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0.51167690383816999</v>
      </c>
      <c r="C16" s="98">
        <v>0.95</v>
      </c>
      <c r="D16" s="56">
        <v>0.78575792473933481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10.612768372685171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10.612768372685171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0.1581881</v>
      </c>
      <c r="C21" s="98">
        <v>0.95</v>
      </c>
      <c r="D21" s="56">
        <v>14.651964526226051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22.60519511135972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7.8589787480000006E-2</v>
      </c>
      <c r="C23" s="98">
        <v>0.95</v>
      </c>
      <c r="D23" s="56">
        <v>4.3210955878812296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0.74540198576745798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0.39408034093496003</v>
      </c>
      <c r="C27" s="98">
        <v>0.95</v>
      </c>
      <c r="D27" s="56">
        <v>18.641046941214839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0.25434099999999998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120.4259539033133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2.2583380955776229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0.2296231</v>
      </c>
      <c r="C32" s="98">
        <v>0.95</v>
      </c>
      <c r="D32" s="56">
        <v>1.694013274674657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0.94121022452359293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7.35566E-2</v>
      </c>
      <c r="C38" s="98">
        <v>0.95</v>
      </c>
      <c r="D38" s="56">
        <v>3.1210547735760681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0.44582569999999999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EibLbswWK7i7is2YW9jWtDPDjX9waFbiOOQP/zM8+JKmUchtCEF7RazEmtMH+TmIcUJKn/ZfuDTakYFJRZPqXw==" saltValue="eCe6x/RffOXQPk8nWO9g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b9aP/wdax0vrQpkAu2iVG828PkarSC7o9mptyoVPoTIkWVCEP+12OZeQc1wRjIc9UyBEvciwWvK6Ij2isk36Hg==" saltValue="G5caNV1oUv9TKsdHudEJC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E6GcsQF8q8KLo8uIbgLE7cAuDXi+4gMuT3HJpwji0jSH1bXxPicVcZj7hx9VO+reT/K/CS/WylBiBLbTp6HtiQ==" saltValue="UfOHQQMUK4ai3L8Lm0Oq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0.17425176501274098</v>
      </c>
      <c r="C3" s="21">
        <f>frac_mam_1_5months * 2.6</f>
        <v>0.17425176501274098</v>
      </c>
      <c r="D3" s="21">
        <f>frac_mam_6_11months * 2.6</f>
        <v>8.8399869203567488E-2</v>
      </c>
      <c r="E3" s="21">
        <f>frac_mam_12_23months * 2.6</f>
        <v>4.939255975186832E-2</v>
      </c>
      <c r="F3" s="21">
        <f>frac_mam_24_59months * 2.6</f>
        <v>3.6239404045045505E-2</v>
      </c>
    </row>
    <row r="4" spans="1:6" ht="15.75" customHeight="1" x14ac:dyDescent="0.25">
      <c r="A4" s="3" t="s">
        <v>208</v>
      </c>
      <c r="B4" s="21">
        <f>frac_sam_1month * 2.6</f>
        <v>0.10254850015044205</v>
      </c>
      <c r="C4" s="21">
        <f>frac_sam_1_5months * 2.6</f>
        <v>0.10254850015044205</v>
      </c>
      <c r="D4" s="21">
        <f>frac_sam_6_11months * 2.6</f>
        <v>3.1441035121679305E-2</v>
      </c>
      <c r="E4" s="21">
        <f>frac_sam_12_23months * 2.6</f>
        <v>1.5377132128924017E-2</v>
      </c>
      <c r="F4" s="21">
        <f>frac_sam_24_59months * 2.6</f>
        <v>1.205478142946948E-2</v>
      </c>
    </row>
  </sheetData>
  <sheetProtection algorithmName="SHA-512" hashValue="A18tMxq0hlclAtFzLu4fmrv7bo1zchXw4d0yYcZPVhCUWwBcj9Ra9ITFmwrz31wNfXdoyFYz/Z7qyiClA8a1dg==" saltValue="4SwCTFWC1XJC3wRpxHfp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2.5000000000000001E-2</v>
      </c>
      <c r="E2" s="60">
        <f>food_insecure</f>
        <v>2.5000000000000001E-2</v>
      </c>
      <c r="F2" s="60">
        <f>food_insecure</f>
        <v>2.5000000000000001E-2</v>
      </c>
      <c r="G2" s="60">
        <f>food_insecure</f>
        <v>2.5000000000000001E-2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2.5000000000000001E-2</v>
      </c>
      <c r="F5" s="60">
        <f>food_insecure</f>
        <v>2.5000000000000001E-2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2.5000000000000001E-2</v>
      </c>
      <c r="F8" s="60">
        <f>food_insecure</f>
        <v>2.5000000000000001E-2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2.5000000000000001E-2</v>
      </c>
      <c r="F9" s="60">
        <f>food_insecure</f>
        <v>2.5000000000000001E-2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0.74400000000000011</v>
      </c>
      <c r="E10" s="60">
        <f>IF(ISBLANK(comm_deliv), frac_children_health_facility,1)</f>
        <v>0.74400000000000011</v>
      </c>
      <c r="F10" s="60">
        <f>IF(ISBLANK(comm_deliv), frac_children_health_facility,1)</f>
        <v>0.74400000000000011</v>
      </c>
      <c r="G10" s="60">
        <f>IF(ISBLANK(comm_deliv), frac_children_health_facility,1)</f>
        <v>0.74400000000000011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2.5000000000000001E-2</v>
      </c>
      <c r="I15" s="60">
        <f>food_insecure</f>
        <v>2.5000000000000001E-2</v>
      </c>
      <c r="J15" s="60">
        <f>food_insecure</f>
        <v>2.5000000000000001E-2</v>
      </c>
      <c r="K15" s="60">
        <f>food_insecure</f>
        <v>2.5000000000000001E-2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0.496</v>
      </c>
      <c r="I18" s="60">
        <f>frac_PW_health_facility</f>
        <v>0.496</v>
      </c>
      <c r="J18" s="60">
        <f>frac_PW_health_facility</f>
        <v>0.496</v>
      </c>
      <c r="K18" s="60">
        <f>frac_PW_health_facility</f>
        <v>0.496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0.40699999999999997</v>
      </c>
      <c r="M24" s="60">
        <f>famplan_unmet_need</f>
        <v>0.40699999999999997</v>
      </c>
      <c r="N24" s="60">
        <f>famplan_unmet_need</f>
        <v>0.40699999999999997</v>
      </c>
      <c r="O24" s="60">
        <f>famplan_unmet_need</f>
        <v>0.40699999999999997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0.15624296416924996</v>
      </c>
      <c r="M25" s="60">
        <f>(1-food_insecure)*(0.49)+food_insecure*(0.7)</f>
        <v>0.49525000000000002</v>
      </c>
      <c r="N25" s="60">
        <f>(1-food_insecure)*(0.49)+food_insecure*(0.7)</f>
        <v>0.49525000000000002</v>
      </c>
      <c r="O25" s="60">
        <f>(1-food_insecure)*(0.49)+food_insecure*(0.7)</f>
        <v>0.49525000000000002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6.6961270358249975E-2</v>
      </c>
      <c r="M26" s="60">
        <f>(1-food_insecure)*(0.21)+food_insecure*(0.3)</f>
        <v>0.21224999999999999</v>
      </c>
      <c r="N26" s="60">
        <f>(1-food_insecure)*(0.21)+food_insecure*(0.3)</f>
        <v>0.21224999999999999</v>
      </c>
      <c r="O26" s="60">
        <f>(1-food_insecure)*(0.21)+food_insecure*(0.3)</f>
        <v>0.21224999999999999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9.2278782472499973E-2</v>
      </c>
      <c r="M27" s="60">
        <f>(1-food_insecure)*(0.3)</f>
        <v>0.29249999999999998</v>
      </c>
      <c r="N27" s="60">
        <f>(1-food_insecure)*(0.3)</f>
        <v>0.29249999999999998</v>
      </c>
      <c r="O27" s="60">
        <f>(1-food_insecure)*(0.3)</f>
        <v>0.29249999999999998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lhIrrApE3eBkpN4K3USvbJ2lalEu52CwRtTKDmMpmFWWY6oX85pCWvlHNd1i6dnaE0WkesiEFRvJ4eQUJXyxg==" saltValue="ofyG4qZzNus+1tcl0b5J9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GCSzFvisChVWh8TcYN+24clx3Dyd3HCx4LE1BQZU1e9GclKgN5WCOncPrUCdgZBx2mhTIoOO2B+8f5PgKaBPbA==" saltValue="/mRit/IOOcj69DcNfLT+m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im3V7ZZKr2AfoMuTS0YGPFlIw2jZp7oBoA+IXf1ZFlmSt6zirZFTZFNkW1PIRiJsajgGKQhvBhgMJBygvwlyA==" saltValue="YXm4MahNFbMyHIT/s7Ga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wUJmy9gMt9gvT1W11mvSvZmzQY+XNF16N9sGAA+12e4O5Eblx7gQBLzwti+RlP5KPuyRIZXGLVLfcvSdGiVtA==" saltValue="Szeu9aXUy1BIKDj1thLQR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LpeplJ2+av+QPEADN4QfzjDiOKcOO1EVCuiqaH4TQ/5CBN9U+Nqqq3jiNFM6L9LSJjUiTwSj4nrSyahYodj8Q==" saltValue="qGXe155IqYgkuPHQphvZT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u0aLL7IVsGssJY/PvM2XkcX79tKsBTbY4dNwVKQrJcA/CVQA2teOIdvbAQr88ccbXkMaDzqESN12QWRDgdTqw==" saltValue="pbrecnxkpIOdg+/7gU0R1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1328198.9952</v>
      </c>
      <c r="C2" s="49">
        <v>2096000</v>
      </c>
      <c r="D2" s="49">
        <v>3538000</v>
      </c>
      <c r="E2" s="49">
        <v>2677000</v>
      </c>
      <c r="F2" s="49">
        <v>2015000</v>
      </c>
      <c r="G2" s="17">
        <f t="shared" ref="G2:G11" si="0">C2+D2+E2+F2</f>
        <v>10326000</v>
      </c>
      <c r="H2" s="17">
        <f t="shared" ref="H2:H11" si="1">(B2 + stillbirth*B2/(1000-stillbirth))/(1-abortion)</f>
        <v>1527130.8762890524</v>
      </c>
      <c r="I2" s="17">
        <f t="shared" ref="I2:I11" si="2">G2-H2</f>
        <v>8798869.1237109471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1348345.8912</v>
      </c>
      <c r="C3" s="50">
        <v>2154000</v>
      </c>
      <c r="D3" s="50">
        <v>3622000</v>
      </c>
      <c r="E3" s="50">
        <v>2750000</v>
      </c>
      <c r="F3" s="50">
        <v>2069000</v>
      </c>
      <c r="G3" s="17">
        <f t="shared" si="0"/>
        <v>10595000</v>
      </c>
      <c r="H3" s="17">
        <f t="shared" si="1"/>
        <v>1550295.2869339734</v>
      </c>
      <c r="I3" s="17">
        <f t="shared" si="2"/>
        <v>9044704.7130660266</v>
      </c>
    </row>
    <row r="4" spans="1:9" ht="15.75" customHeight="1" x14ac:dyDescent="0.25">
      <c r="A4" s="5">
        <f t="shared" si="3"/>
        <v>2023</v>
      </c>
      <c r="B4" s="49">
        <v>1368184.9</v>
      </c>
      <c r="C4" s="50">
        <v>2216000</v>
      </c>
      <c r="D4" s="50">
        <v>3705000</v>
      </c>
      <c r="E4" s="50">
        <v>2825000</v>
      </c>
      <c r="F4" s="50">
        <v>2124000</v>
      </c>
      <c r="G4" s="17">
        <f t="shared" si="0"/>
        <v>10870000</v>
      </c>
      <c r="H4" s="17">
        <f t="shared" si="1"/>
        <v>1573105.6963703155</v>
      </c>
      <c r="I4" s="17">
        <f t="shared" si="2"/>
        <v>9296894.3036296852</v>
      </c>
    </row>
    <row r="5" spans="1:9" ht="15.75" customHeight="1" x14ac:dyDescent="0.25">
      <c r="A5" s="5">
        <f t="shared" si="3"/>
        <v>2024</v>
      </c>
      <c r="B5" s="49">
        <v>1387730.852</v>
      </c>
      <c r="C5" s="50">
        <v>2282000</v>
      </c>
      <c r="D5" s="50">
        <v>3790000</v>
      </c>
      <c r="E5" s="50">
        <v>2903000</v>
      </c>
      <c r="F5" s="50">
        <v>2180000</v>
      </c>
      <c r="G5" s="17">
        <f t="shared" si="0"/>
        <v>11155000</v>
      </c>
      <c r="H5" s="17">
        <f t="shared" si="1"/>
        <v>1595579.1562310264</v>
      </c>
      <c r="I5" s="17">
        <f t="shared" si="2"/>
        <v>9559420.8437689729</v>
      </c>
    </row>
    <row r="6" spans="1:9" ht="15.75" customHeight="1" x14ac:dyDescent="0.25">
      <c r="A6" s="5">
        <f t="shared" si="3"/>
        <v>2025</v>
      </c>
      <c r="B6" s="49">
        <v>1406937.6</v>
      </c>
      <c r="C6" s="50">
        <v>2349000</v>
      </c>
      <c r="D6" s="50">
        <v>3878000</v>
      </c>
      <c r="E6" s="50">
        <v>2985000</v>
      </c>
      <c r="F6" s="50">
        <v>2237000</v>
      </c>
      <c r="G6" s="17">
        <f t="shared" si="0"/>
        <v>11449000</v>
      </c>
      <c r="H6" s="17">
        <f t="shared" si="1"/>
        <v>1617662.6075887701</v>
      </c>
      <c r="I6" s="17">
        <f t="shared" si="2"/>
        <v>9831337.3924112301</v>
      </c>
    </row>
    <row r="7" spans="1:9" ht="15.75" customHeight="1" x14ac:dyDescent="0.25">
      <c r="A7" s="5">
        <f t="shared" si="3"/>
        <v>2026</v>
      </c>
      <c r="B7" s="49">
        <v>1428934.851</v>
      </c>
      <c r="C7" s="50">
        <v>2418000</v>
      </c>
      <c r="D7" s="50">
        <v>3966000</v>
      </c>
      <c r="E7" s="50">
        <v>3068000</v>
      </c>
      <c r="F7" s="50">
        <v>2294000</v>
      </c>
      <c r="G7" s="17">
        <f t="shared" si="0"/>
        <v>11746000</v>
      </c>
      <c r="H7" s="17">
        <f t="shared" si="1"/>
        <v>1642954.5113750109</v>
      </c>
      <c r="I7" s="17">
        <f t="shared" si="2"/>
        <v>10103045.48862499</v>
      </c>
    </row>
    <row r="8" spans="1:9" ht="15.75" customHeight="1" x14ac:dyDescent="0.25">
      <c r="A8" s="5">
        <f t="shared" si="3"/>
        <v>2027</v>
      </c>
      <c r="B8" s="49">
        <v>1450806.0336</v>
      </c>
      <c r="C8" s="50">
        <v>2490000</v>
      </c>
      <c r="D8" s="50">
        <v>4056000</v>
      </c>
      <c r="E8" s="50">
        <v>3153000</v>
      </c>
      <c r="F8" s="50">
        <v>2355000</v>
      </c>
      <c r="G8" s="17">
        <f t="shared" si="0"/>
        <v>12054000</v>
      </c>
      <c r="H8" s="17">
        <f t="shared" si="1"/>
        <v>1668101.4647834394</v>
      </c>
      <c r="I8" s="17">
        <f t="shared" si="2"/>
        <v>10385898.535216561</v>
      </c>
    </row>
    <row r="9" spans="1:9" ht="15.75" customHeight="1" x14ac:dyDescent="0.25">
      <c r="A9" s="5">
        <f t="shared" si="3"/>
        <v>2028</v>
      </c>
      <c r="B9" s="49">
        <v>1472507.2944</v>
      </c>
      <c r="C9" s="50">
        <v>2562000</v>
      </c>
      <c r="D9" s="50">
        <v>4151000</v>
      </c>
      <c r="E9" s="50">
        <v>3241000</v>
      </c>
      <c r="F9" s="50">
        <v>2417000</v>
      </c>
      <c r="G9" s="17">
        <f t="shared" si="0"/>
        <v>12371000</v>
      </c>
      <c r="H9" s="17">
        <f t="shared" si="1"/>
        <v>1693053.0462421281</v>
      </c>
      <c r="I9" s="17">
        <f t="shared" si="2"/>
        <v>10677946.953757871</v>
      </c>
    </row>
    <row r="10" spans="1:9" ht="15.75" customHeight="1" x14ac:dyDescent="0.25">
      <c r="A10" s="5">
        <f t="shared" si="3"/>
        <v>2029</v>
      </c>
      <c r="B10" s="49">
        <v>1493995.8816</v>
      </c>
      <c r="C10" s="50">
        <v>2630000</v>
      </c>
      <c r="D10" s="50">
        <v>4253000</v>
      </c>
      <c r="E10" s="50">
        <v>3328000</v>
      </c>
      <c r="F10" s="50">
        <v>2482000</v>
      </c>
      <c r="G10" s="17">
        <f t="shared" si="0"/>
        <v>12693000</v>
      </c>
      <c r="H10" s="17">
        <f t="shared" si="1"/>
        <v>1717760.1007720167</v>
      </c>
      <c r="I10" s="17">
        <f t="shared" si="2"/>
        <v>10975239.899227984</v>
      </c>
    </row>
    <row r="11" spans="1:9" ht="15.75" customHeight="1" x14ac:dyDescent="0.25">
      <c r="A11" s="5">
        <f t="shared" si="3"/>
        <v>2030</v>
      </c>
      <c r="B11" s="49">
        <v>1515315.4380000001</v>
      </c>
      <c r="C11" s="50">
        <v>2693000</v>
      </c>
      <c r="D11" s="50">
        <v>4364000</v>
      </c>
      <c r="E11" s="50">
        <v>3413000</v>
      </c>
      <c r="F11" s="50">
        <v>2550000</v>
      </c>
      <c r="G11" s="17">
        <f t="shared" si="0"/>
        <v>13020000</v>
      </c>
      <c r="H11" s="17">
        <f t="shared" si="1"/>
        <v>1742272.8078022788</v>
      </c>
      <c r="I11" s="17">
        <f t="shared" si="2"/>
        <v>11277727.192197721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7p3p3bmH39ZiRX4cQt9mklPt7nHjm2mcwOEWTwYXM5R0PQop21E8taypLlkCYaQ4ceCY39+GXRpGYTNqb5fjpA==" saltValue="NC0wiH5Hg1aUYXZg26Zzw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2.8742277681432724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2.8742277681432724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1.8725623280775647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1.8725623280775647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1.9630562742373103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1.9630562742373103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1.5398178762157435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1.5398178762157435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4.7671963742456125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4.7671963742456125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2.2972416819191266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2.2972416819191266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CbIkVuFduan1s7ymlJnCchyaEGzAp3qiswpuNgFvSNlbqI0+cReCpzNQE1WHv48yLwwJc71KocS/xZzki0CDlw==" saltValue="RrungAVOBrPGrvr2oumtI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Z68M1eaVCl+r1O4SxSE/n6clO3f3T05/VVrP4D80USyTckGBgUDpQ8YaKOlGouKQZz4rHRQ0ClAscLiJcBlLA==" saltValue="wklQioDdem2NMiXnuV59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SjRlT9svOGB8ftAwt01h7+IAe64sZZ+94LUMa0te0/Xqa3b81KhS2JQVTY1aVyrFmj6Ot5tTjydep3MXMt49Cw==" saltValue="6imCwaAN6z20gnksC01h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0.61724195648229918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0.60297396759592725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0.86931595082941904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0.86234895584300575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0.86931595082941904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0.86234895584300575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0.41613303456952683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0.40163576685567837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0.83713926017094753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0.82879470396292232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0.83713926017094753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0.82879470396292232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0.91252328330200583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0.90761495064319964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0.9016885641975918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0.89624141935708512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0.9016885641975918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0.89624141935708512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/Ie0h0MvWbsxImLhhDtt+4wBH6RZPh6g/07vVBxCVbY6oI8gGpu17GbI1OzrMkcLsDuJZWh4yLTCtifV5a85oQ==" saltValue="hYb7aQ7FYFu2SThqxe3A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cD5N1BkdJYHFgBpyCPVwVe8a1qi4VU5kZrSbrOnLHDRZxABQa0Ii4LTUKTtzephTQUh5iddagljCFBLyrphI2Q==" saltValue="ubEt8nhlYQYX0Hz1kb9Z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0.53659969064761281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0.60069458941657783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0.60069458941657783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0.63099630996309952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0.63099630996309952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0.63099630996309952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0.63099630996309952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0.64707068669960677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0.64707068669960677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0.64707068669960677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0.64707068669960677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0.64301948674695264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0.70060758989554262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0.70060758989554262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0.72677595628415304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0.72677595628415304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0.72677595628415304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0.72677595628415304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0.74039460020768455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0.74039460020768455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0.74039460020768455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0.74039460020768455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0.34582141565391622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0.40715020752825154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0.40715020752825154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0.43840800879013564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0.43840800879013564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0.43840800879013564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0.43840800879013564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0.45563418617310841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0.45563418617310841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0.45563418617310841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0.45563418617310841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0.5123718075728475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0.57717724289086902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0.57717724289086902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0.60809928151534931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0.60809928151534931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0.60809928151534931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0.60809928151534931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0.6245776498560881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0.6245776498560881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0.6245776498560881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0.6245776498560881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0.93573385777057683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0.94978859096576196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0.94978859096576196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0.95555884749277842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0.95555884749277842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0.95555884749277842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0.95555884749277842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0.95842629675309376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0.95842629675309376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0.95842629675309376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0.95842629675309376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0.83815263259597772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0.8705967611173121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0.8705967611173121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0.88435964151488877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0.88435964151488877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0.88435964151488877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0.88435964151488877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0.89129844013261605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0.89129844013261605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0.89129844013261605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0.89129844013261605</v>
      </c>
    </row>
  </sheetData>
  <sheetProtection algorithmName="SHA-512" hashValue="n3DCF9N1wpryBDc/7YiplqcCX4tkfHr35LvcImSbjMHb5xvZuV1ETGMjgAvfBufVmoQCFXxbrB/FDoIfeTuodg==" saltValue="pCfzTt7H5T0Gw48ik4Sd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0.74429670640792489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0.74960302484376828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0.75077142256636753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0.7510117121490627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0.73871322080715818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0.74537038025422775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0.74828430230219134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0.74925189067455877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0.64013393475373481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0.6465754158936684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0.64799880898507112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0.64829176676358391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0.63339626684241535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0.64143427492571192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0.64497108215830745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0.64614800564546471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0.85721402946934899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0.86061592185130109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0.86136211769420079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0.86151545060533441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0.85361124012385803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0.85790409160597003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0.85977248140212137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0.86039146884326112</v>
      </c>
    </row>
  </sheetData>
  <sheetProtection algorithmName="SHA-512" hashValue="WJi6SIxD12S5xDAfN7u/CT69kZ2JrR9qCvKjo5R0lUzlE82Ck5QwA9tzDQwq8Z+9M+eSzSqqrGAcMBcNjUljlA==" saltValue="wdU6sk1iKYUbyZtwSFdh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10Hod2Z9wD3hSfNODB6sQer1V0HA/1tCqKKu5ZhgsdlexR19Ob+9F0Yypz8XWF8vHIoMjoTzglujHWAKNlQL9A==" saltValue="i7KjH/eJMAZeqdQ+EMh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YHhJqjb0ZCLL67EdSB7Xu4HlAjeTl6qtKnVm2lGBWB5sm4y86O1b96p5pfvfk9HuArwjhpgxe/mKp2wRboBRUw==" saltValue="0O6SnTMQrGgBcIdYhI0Hx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4.7474905465759269E-3</v>
      </c>
    </row>
    <row r="4" spans="1:8" ht="15.75" customHeight="1" x14ac:dyDescent="0.25">
      <c r="B4" s="19" t="s">
        <v>79</v>
      </c>
      <c r="C4" s="101">
        <v>0.1244654591149242</v>
      </c>
    </row>
    <row r="5" spans="1:8" ht="15.75" customHeight="1" x14ac:dyDescent="0.25">
      <c r="B5" s="19" t="s">
        <v>80</v>
      </c>
      <c r="C5" s="101">
        <v>5.925248598433195E-2</v>
      </c>
    </row>
    <row r="6" spans="1:8" ht="15.75" customHeight="1" x14ac:dyDescent="0.25">
      <c r="B6" s="19" t="s">
        <v>81</v>
      </c>
      <c r="C6" s="101">
        <v>0.23302616660514469</v>
      </c>
    </row>
    <row r="7" spans="1:8" ht="15.75" customHeight="1" x14ac:dyDescent="0.25">
      <c r="B7" s="19" t="s">
        <v>82</v>
      </c>
      <c r="C7" s="101">
        <v>0.3332071037242802</v>
      </c>
    </row>
    <row r="8" spans="1:8" ht="15.75" customHeight="1" x14ac:dyDescent="0.25">
      <c r="B8" s="19" t="s">
        <v>83</v>
      </c>
      <c r="C8" s="101">
        <v>5.7694778239987888E-3</v>
      </c>
    </row>
    <row r="9" spans="1:8" ht="15.75" customHeight="1" x14ac:dyDescent="0.25">
      <c r="B9" s="19" t="s">
        <v>84</v>
      </c>
      <c r="C9" s="101">
        <v>0.1709398346178567</v>
      </c>
    </row>
    <row r="10" spans="1:8" ht="15.75" customHeight="1" x14ac:dyDescent="0.25">
      <c r="B10" s="19" t="s">
        <v>85</v>
      </c>
      <c r="C10" s="101">
        <v>6.8591981582887609E-2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0.11649782239177971</v>
      </c>
      <c r="D14" s="55">
        <v>0.11649782239177971</v>
      </c>
      <c r="E14" s="55">
        <v>0.11649782239177971</v>
      </c>
      <c r="F14" s="55">
        <v>0.11649782239177971</v>
      </c>
    </row>
    <row r="15" spans="1:8" ht="15.75" customHeight="1" x14ac:dyDescent="0.25">
      <c r="B15" s="19" t="s">
        <v>88</v>
      </c>
      <c r="C15" s="101">
        <v>0.27285301922605731</v>
      </c>
      <c r="D15" s="101">
        <v>0.27285301922605731</v>
      </c>
      <c r="E15" s="101">
        <v>0.27285301922605731</v>
      </c>
      <c r="F15" s="101">
        <v>0.27285301922605731</v>
      </c>
    </row>
    <row r="16" spans="1:8" ht="15.75" customHeight="1" x14ac:dyDescent="0.25">
      <c r="B16" s="19" t="s">
        <v>89</v>
      </c>
      <c r="C16" s="101">
        <v>2.2768412700607581E-2</v>
      </c>
      <c r="D16" s="101">
        <v>2.2768412700607581E-2</v>
      </c>
      <c r="E16" s="101">
        <v>2.2768412700607581E-2</v>
      </c>
      <c r="F16" s="101">
        <v>2.2768412700607581E-2</v>
      </c>
    </row>
    <row r="17" spans="1:8" ht="15.75" customHeight="1" x14ac:dyDescent="0.25">
      <c r="B17" s="19" t="s">
        <v>90</v>
      </c>
      <c r="C17" s="101">
        <v>5.0739575093543291E-3</v>
      </c>
      <c r="D17" s="101">
        <v>5.0739575093543291E-3</v>
      </c>
      <c r="E17" s="101">
        <v>5.0739575093543291E-3</v>
      </c>
      <c r="F17" s="101">
        <v>5.0739575093543291E-3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1.116942769370541E-2</v>
      </c>
      <c r="D19" s="101">
        <v>1.116942769370541E-2</v>
      </c>
      <c r="E19" s="101">
        <v>1.116942769370541E-2</v>
      </c>
      <c r="F19" s="101">
        <v>1.116942769370541E-2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0.14013384687827229</v>
      </c>
      <c r="D21" s="101">
        <v>0.14013384687827229</v>
      </c>
      <c r="E21" s="101">
        <v>0.14013384687827229</v>
      </c>
      <c r="F21" s="101">
        <v>0.14013384687827229</v>
      </c>
    </row>
    <row r="22" spans="1:8" ht="15.75" customHeight="1" x14ac:dyDescent="0.25">
      <c r="B22" s="19" t="s">
        <v>95</v>
      </c>
      <c r="C22" s="101">
        <v>0.43150351360022332</v>
      </c>
      <c r="D22" s="101">
        <v>0.43150351360022332</v>
      </c>
      <c r="E22" s="101">
        <v>0.43150351360022332</v>
      </c>
      <c r="F22" s="101">
        <v>0.43150351360022332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7.1492997000000003E-2</v>
      </c>
    </row>
    <row r="27" spans="1:8" ht="15.75" customHeight="1" x14ac:dyDescent="0.25">
      <c r="B27" s="19" t="s">
        <v>102</v>
      </c>
      <c r="C27" s="101">
        <v>2.4622926999999999E-2</v>
      </c>
    </row>
    <row r="28" spans="1:8" ht="15.75" customHeight="1" x14ac:dyDescent="0.25">
      <c r="B28" s="19" t="s">
        <v>103</v>
      </c>
      <c r="C28" s="101">
        <v>0.300465973</v>
      </c>
    </row>
    <row r="29" spans="1:8" ht="15.75" customHeight="1" x14ac:dyDescent="0.25">
      <c r="B29" s="19" t="s">
        <v>104</v>
      </c>
      <c r="C29" s="101">
        <v>0.10581837400000001</v>
      </c>
    </row>
    <row r="30" spans="1:8" ht="15.75" customHeight="1" x14ac:dyDescent="0.25">
      <c r="B30" s="19" t="s">
        <v>2</v>
      </c>
      <c r="C30" s="101">
        <v>3.6280391000000002E-2</v>
      </c>
    </row>
    <row r="31" spans="1:8" ht="15.75" customHeight="1" x14ac:dyDescent="0.25">
      <c r="B31" s="19" t="s">
        <v>105</v>
      </c>
      <c r="C31" s="101">
        <v>4.1639915E-2</v>
      </c>
    </row>
    <row r="32" spans="1:8" ht="15.75" customHeight="1" x14ac:dyDescent="0.25">
      <c r="B32" s="19" t="s">
        <v>106</v>
      </c>
      <c r="C32" s="101">
        <v>9.9941725999999995E-2</v>
      </c>
    </row>
    <row r="33" spans="2:3" ht="15.75" customHeight="1" x14ac:dyDescent="0.25">
      <c r="B33" s="19" t="s">
        <v>107</v>
      </c>
      <c r="C33" s="101">
        <v>9.6583884999999994E-2</v>
      </c>
    </row>
    <row r="34" spans="2:3" ht="15.75" customHeight="1" x14ac:dyDescent="0.25">
      <c r="B34" s="19" t="s">
        <v>108</v>
      </c>
      <c r="C34" s="101">
        <v>0.22315381200000001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QjI3wCLZfizdGfcSQU2VAqn/7lPfPVzcsYeaHzRK6F9E+nRmErqWLTToQwxaFz3/jWARIdmW3Fh4h2BE63WYXw==" saltValue="OntiXT28WDt+fj3GYOqaZ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0.56317058333656222</v>
      </c>
      <c r="D2" s="52">
        <f>IFERROR(1-_xlfn.NORM.DIST(_xlfn.NORM.INV(SUM(D4:D5), 0, 1) + 1, 0, 1, TRUE), "")</f>
        <v>0.56317058333656222</v>
      </c>
      <c r="E2" s="52">
        <f>IFERROR(1-_xlfn.NORM.DIST(_xlfn.NORM.INV(SUM(E4:E5), 0, 1) + 1, 0, 1, TRUE), "")</f>
        <v>0.62668540055606226</v>
      </c>
      <c r="F2" s="52">
        <f>IFERROR(1-_xlfn.NORM.DIST(_xlfn.NORM.INV(SUM(F4:F5), 0, 1) + 1, 0, 1, TRUE), "")</f>
        <v>0.521924382544807</v>
      </c>
      <c r="G2" s="52">
        <f>IFERROR(1-_xlfn.NORM.DIST(_xlfn.NORM.INV(SUM(G4:G5), 0, 1) + 1, 0, 1, TRUE), "")</f>
        <v>0.56622629808155112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0.31360392144420718</v>
      </c>
      <c r="D3" s="52">
        <f>IFERROR(_xlfn.NORM.DIST(_xlfn.NORM.INV(SUM(D4:D5), 0, 1) + 1, 0, 1, TRUE) - SUM(D4:D5), "")</f>
        <v>0.31360392144420718</v>
      </c>
      <c r="E3" s="52">
        <f>IFERROR(_xlfn.NORM.DIST(_xlfn.NORM.INV(SUM(E4:E5), 0, 1) + 1, 0, 1, TRUE) - SUM(E4:E5), "")</f>
        <v>0.28041141008284221</v>
      </c>
      <c r="F3" s="52">
        <f>IFERROR(_xlfn.NORM.DIST(_xlfn.NORM.INV(SUM(F4:F5), 0, 1) + 1, 0, 1, TRUE) - SUM(F4:F5), "")</f>
        <v>0.33235928928131725</v>
      </c>
      <c r="G3" s="52">
        <f>IFERROR(_xlfn.NORM.DIST(_xlfn.NORM.INV(SUM(G4:G5), 0, 1) + 1, 0, 1, TRUE) - SUM(G4:G5), "")</f>
        <v>0.31212299866708704</v>
      </c>
    </row>
    <row r="4" spans="1:15" ht="15.75" customHeight="1" x14ac:dyDescent="0.25">
      <c r="B4" s="5" t="s">
        <v>114</v>
      </c>
      <c r="C4" s="45">
        <v>7.3705181479453999E-2</v>
      </c>
      <c r="D4" s="53">
        <v>7.3705181479453999E-2</v>
      </c>
      <c r="E4" s="53">
        <v>4.3158449232578312E-2</v>
      </c>
      <c r="F4" s="53">
        <v>9.2870786786079407E-2</v>
      </c>
      <c r="G4" s="53">
        <v>8.6136676371097606E-2</v>
      </c>
    </row>
    <row r="5" spans="1:15" ht="15.75" customHeight="1" x14ac:dyDescent="0.25">
      <c r="B5" s="5" t="s">
        <v>115</v>
      </c>
      <c r="C5" s="45">
        <v>4.9520313739776597E-2</v>
      </c>
      <c r="D5" s="53">
        <v>4.9520313739776597E-2</v>
      </c>
      <c r="E5" s="53">
        <v>4.9744740128517213E-2</v>
      </c>
      <c r="F5" s="53">
        <v>5.2845541387796402E-2</v>
      </c>
      <c r="G5" s="53">
        <v>3.5514026880264303E-2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0.59699141083649143</v>
      </c>
      <c r="D8" s="52">
        <f>IFERROR(1-_xlfn.NORM.DIST(_xlfn.NORM.INV(SUM(D10:D11), 0, 1) + 1, 0, 1, TRUE), "")</f>
        <v>0.59699141083649143</v>
      </c>
      <c r="E8" s="52">
        <f>IFERROR(1-_xlfn.NORM.DIST(_xlfn.NORM.INV(SUM(E10:E11), 0, 1) + 1, 0, 1, TRUE), "")</f>
        <v>0.75300646672987126</v>
      </c>
      <c r="F8" s="52">
        <f>IFERROR(1-_xlfn.NORM.DIST(_xlfn.NORM.INV(SUM(F10:F11), 0, 1) + 1, 0, 1, TRUE), "")</f>
        <v>0.83184502711200725</v>
      </c>
      <c r="G8" s="52">
        <f>IFERROR(1-_xlfn.NORM.DIST(_xlfn.NORM.INV(SUM(G10:G11), 0, 1) + 1, 0, 1, TRUE), "")</f>
        <v>0.86084390892386708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0.29654694871613047</v>
      </c>
      <c r="D9" s="52">
        <f>IFERROR(_xlfn.NORM.DIST(_xlfn.NORM.INV(SUM(D10:D11), 0, 1) + 1, 0, 1, TRUE) - SUM(D10:D11), "")</f>
        <v>0.29654694871613047</v>
      </c>
      <c r="E9" s="52">
        <f>IFERROR(_xlfn.NORM.DIST(_xlfn.NORM.INV(SUM(E10:E11), 0, 1) + 1, 0, 1, TRUE) - SUM(E10:E11), "")</f>
        <v>0.20090087776041848</v>
      </c>
      <c r="F9" s="52">
        <f>IFERROR(_xlfn.NORM.DIST(_xlfn.NORM.INV(SUM(F10:F11), 0, 1) + 1, 0, 1, TRUE) - SUM(F10:F11), "")</f>
        <v>0.14324355293384192</v>
      </c>
      <c r="G9" s="52">
        <f>IFERROR(_xlfn.NORM.DIST(_xlfn.NORM.INV(SUM(G10:G11), 0, 1) + 1, 0, 1, TRUE) - SUM(G10:G11), "")</f>
        <v>0.12058140435516562</v>
      </c>
    </row>
    <row r="10" spans="1:15" ht="15.75" customHeight="1" x14ac:dyDescent="0.25">
      <c r="B10" s="5" t="s">
        <v>119</v>
      </c>
      <c r="C10" s="45">
        <v>6.7019909620284993E-2</v>
      </c>
      <c r="D10" s="53">
        <v>6.7019909620284993E-2</v>
      </c>
      <c r="E10" s="53">
        <v>3.3999949693679803E-2</v>
      </c>
      <c r="F10" s="53">
        <v>1.89971383661032E-2</v>
      </c>
      <c r="G10" s="53">
        <v>1.3938232325017501E-2</v>
      </c>
    </row>
    <row r="11" spans="1:15" ht="15.75" customHeight="1" x14ac:dyDescent="0.25">
      <c r="B11" s="5" t="s">
        <v>120</v>
      </c>
      <c r="C11" s="45">
        <v>3.9441730827093097E-2</v>
      </c>
      <c r="D11" s="53">
        <v>3.9441730827093097E-2</v>
      </c>
      <c r="E11" s="53">
        <v>1.2092705816030501E-2</v>
      </c>
      <c r="F11" s="53">
        <v>5.9142815880476986E-3</v>
      </c>
      <c r="G11" s="53">
        <v>4.6364543959497998E-3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0.54937793849999994</v>
      </c>
      <c r="D14" s="54">
        <v>0.54968166127100004</v>
      </c>
      <c r="E14" s="54">
        <v>0.54968166127100004</v>
      </c>
      <c r="F14" s="54">
        <v>0.41497549182100002</v>
      </c>
      <c r="G14" s="54">
        <v>0.41497549182100002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0.28699999999999998</v>
      </c>
      <c r="M14" s="55">
        <v>0.28699999999999998</v>
      </c>
      <c r="N14" s="55">
        <v>0.28699999999999998</v>
      </c>
      <c r="O14" s="55">
        <v>0.28699999999999998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0.31574947637348993</v>
      </c>
      <c r="D15" s="52">
        <f t="shared" si="0"/>
        <v>0.31592403799889451</v>
      </c>
      <c r="E15" s="52">
        <f t="shared" si="0"/>
        <v>0.31592403799889451</v>
      </c>
      <c r="F15" s="52">
        <f t="shared" si="0"/>
        <v>0.23850301416920153</v>
      </c>
      <c r="G15" s="52">
        <f t="shared" si="0"/>
        <v>0.23850301416920153</v>
      </c>
      <c r="H15" s="52">
        <f t="shared" si="0"/>
        <v>0.19253789999999998</v>
      </c>
      <c r="I15" s="52">
        <f t="shared" si="0"/>
        <v>0.19253789999999998</v>
      </c>
      <c r="J15" s="52">
        <f t="shared" si="0"/>
        <v>0.19253789999999998</v>
      </c>
      <c r="K15" s="52">
        <f t="shared" si="0"/>
        <v>0.19253789999999998</v>
      </c>
      <c r="L15" s="52">
        <f t="shared" si="0"/>
        <v>0.16495037999999995</v>
      </c>
      <c r="M15" s="52">
        <f t="shared" si="0"/>
        <v>0.16495037999999995</v>
      </c>
      <c r="N15" s="52">
        <f t="shared" si="0"/>
        <v>0.16495037999999995</v>
      </c>
      <c r="O15" s="52">
        <f t="shared" si="0"/>
        <v>0.16495037999999995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jdQ/e/CAT1CTpWy3W7mpm2NTWwWfvR6nUg7ymgTBtX+gSFcPT+xlbj59f7337GcKnmto/emDwtMFEIa0TFRaBw==" saltValue="vv4m8iqLwZshIlHWbI3L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0.44949376583099399</v>
      </c>
      <c r="D2" s="53">
        <v>0.2296231</v>
      </c>
      <c r="E2" s="53"/>
      <c r="F2" s="53"/>
      <c r="G2" s="53"/>
    </row>
    <row r="3" spans="1:7" x14ac:dyDescent="0.25">
      <c r="B3" s="3" t="s">
        <v>130</v>
      </c>
      <c r="C3" s="53">
        <v>0.18113000690937001</v>
      </c>
      <c r="D3" s="53">
        <v>0.16158719999999999</v>
      </c>
      <c r="E3" s="53"/>
      <c r="F3" s="53"/>
      <c r="G3" s="53"/>
    </row>
    <row r="4" spans="1:7" x14ac:dyDescent="0.25">
      <c r="B4" s="3" t="s">
        <v>131</v>
      </c>
      <c r="C4" s="53">
        <v>0.27054449915885898</v>
      </c>
      <c r="D4" s="53">
        <v>0.34594730000000001</v>
      </c>
      <c r="E4" s="53">
        <v>0.60375320911407504</v>
      </c>
      <c r="F4" s="53">
        <v>0.35332018136978099</v>
      </c>
      <c r="G4" s="53"/>
    </row>
    <row r="5" spans="1:7" x14ac:dyDescent="0.25">
      <c r="B5" s="3" t="s">
        <v>132</v>
      </c>
      <c r="C5" s="52">
        <v>9.8831735551357311E-2</v>
      </c>
      <c r="D5" s="52">
        <v>0.262842416763306</v>
      </c>
      <c r="E5" s="52">
        <f>1-SUM(E2:E4)</f>
        <v>0.39624679088592496</v>
      </c>
      <c r="F5" s="52">
        <f>1-SUM(F2:F4)</f>
        <v>0.64667981863021895</v>
      </c>
      <c r="G5" s="52">
        <f>1-SUM(G2:G4)</f>
        <v>1</v>
      </c>
    </row>
  </sheetData>
  <sheetProtection algorithmName="SHA-512" hashValue="7Hd9YIN6ycW9FVuhvqscWDgdSekAtrNMefefM2UFOMP7wui6KgvQ6PPbiKFpTSTbHWUA+01Hc1eB6Ab9Ecz9ZA==" saltValue="nCkRZjXDsX43LqfV3wL73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sD/i1cwptMcS8J/kPsT/0WotrjAm/5LGM0Fo8A1z1UV17OCtDPSx0cmNkLe7Ro+phSx1p68/Eqw+u5kMqjJng==" saltValue="y7Ee8ScB80gVEeIH2AiC6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EcGuAFhFNDG+Va2T96hmb/xgPOtAahAy9oGb+AS9w+SXp5Je12CaSxydY2+wWGbXlC38XumXO4bNhhum2xEOUA==" saltValue="tcz28PxvXAsKtln7aWRII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I5cUgxI4OFzSV5+Radn/Xkt3utZw/OdV2hMan7vZgrlZdFLi1kDL/UeQF570EA+84s62in+O9LVdkEG7hGcLbQ==" saltValue="5LlGrWrdLbidyiMVho1xC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wd9xzzH72MqjbesNEqo46lCaqGVzoX4YUUl820SB0xJQBDXXcUvnZPCrlA3X419anqj86I6NA++cvMJCNENOwA==" saltValue="IxTqEin5G7IA0hNmGyyGX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2024-03-18T01:39:32Z</dcterms:modified>
</cp:coreProperties>
</file>