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B9CB2A9D-B139-4BBC-BC29-73E82E1D7C6E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E112" i="27"/>
  <c r="D112" i="27"/>
  <c r="H97" i="27"/>
  <c r="H152" i="27" s="1"/>
  <c r="G97" i="27"/>
  <c r="G152" i="27" s="1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I40" i="2"/>
  <c r="H40" i="2"/>
  <c r="G40" i="2"/>
  <c r="H39" i="2"/>
  <c r="G39" i="2"/>
  <c r="I39" i="2" s="1"/>
  <c r="H38" i="2"/>
  <c r="I38" i="2" s="1"/>
  <c r="G38" i="2"/>
  <c r="H11" i="2"/>
  <c r="I11" i="2" s="1"/>
  <c r="G11" i="2"/>
  <c r="H10" i="2"/>
  <c r="G10" i="2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9" i="2" s="1"/>
  <c r="C33" i="1"/>
  <c r="C20" i="1"/>
  <c r="A27" i="2" l="1"/>
  <c r="A13" i="2"/>
  <c r="A29" i="2"/>
  <c r="A14" i="2"/>
  <c r="A30" i="2"/>
  <c r="A17" i="2"/>
  <c r="A33" i="2"/>
  <c r="I10" i="2"/>
  <c r="A19" i="2"/>
  <c r="A35" i="2"/>
  <c r="A40" i="2"/>
  <c r="A25" i="2"/>
  <c r="A21" i="2"/>
  <c r="A37" i="2"/>
  <c r="A22" i="2"/>
  <c r="A38" i="2"/>
  <c r="A12" i="2"/>
  <c r="A20" i="2"/>
  <c r="A28" i="2"/>
  <c r="A36" i="2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18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<sst xmlns="http://schemas.openxmlformats.org/spreadsheetml/2006/main" count="2092" uniqueCount="337">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</sst>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1198940.875</v>
      </c>
    </row>
    <row r="8" spans="1:3" ht="15" customHeight="1" x14ac:dyDescent="0.25">
      <c r="B8" s="5" t="s">
        <v>19</v>
      </c>
      <c r="C8" s="44">
        <v>1E-3</v>
      </c>
    </row>
    <row r="9" spans="1:3" ht="15" customHeight="1" x14ac:dyDescent="0.25">
      <c r="B9" s="5" t="s">
        <v>20</v>
      </c>
      <c r="C9" s="45">
        <v>0.01</v>
      </c>
    </row>
    <row r="10" spans="1:3" ht="15" customHeight="1" x14ac:dyDescent="0.25">
      <c r="B10" s="5" t="s">
        <v>21</v>
      </c>
      <c r="C10" s="45">
        <v>0.65108238220214798</v>
      </c>
    </row>
    <row r="11" spans="1:3" ht="15" customHeight="1" x14ac:dyDescent="0.25">
      <c r="B11" s="5" t="s">
        <v>22</v>
      </c>
      <c r="C11" s="45">
        <v>0.94499999999999995</v>
      </c>
    </row>
    <row r="12" spans="1:3" ht="15" customHeight="1" x14ac:dyDescent="0.25">
      <c r="B12" s="5" t="s">
        <v>23</v>
      </c>
      <c r="C12" s="45">
        <v>0.77200000000000002</v>
      </c>
    </row>
    <row r="13" spans="1:3" ht="15" customHeight="1" x14ac:dyDescent="0.25">
      <c r="B13" s="5" t="s">
        <v>24</v>
      </c>
      <c r="C13" s="45">
        <v>0.42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3.9300000000000002E-2</v>
      </c>
    </row>
    <row r="24" spans="1:3" ht="15" customHeight="1" x14ac:dyDescent="0.25">
      <c r="B24" s="15" t="s">
        <v>33</v>
      </c>
      <c r="C24" s="45">
        <v>0.49590000000000001</v>
      </c>
    </row>
    <row r="25" spans="1:3" ht="15" customHeight="1" x14ac:dyDescent="0.25">
      <c r="B25" s="15" t="s">
        <v>34</v>
      </c>
      <c r="C25" s="45">
        <v>0.42020000000000002</v>
      </c>
    </row>
    <row r="26" spans="1:3" ht="15" customHeight="1" x14ac:dyDescent="0.25">
      <c r="B26" s="15" t="s">
        <v>35</v>
      </c>
      <c r="C26" s="45">
        <v>4.4600000000000001E-2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0.238749956298834</v>
      </c>
    </row>
    <row r="30" spans="1:3" ht="14.25" customHeight="1" x14ac:dyDescent="0.25">
      <c r="B30" s="25" t="s">
        <v>38</v>
      </c>
      <c r="C30" s="99">
        <v>0.11454702288442099</v>
      </c>
    </row>
    <row r="31" spans="1:3" ht="14.25" customHeight="1" x14ac:dyDescent="0.25">
      <c r="B31" s="25" t="s">
        <v>39</v>
      </c>
      <c r="C31" s="99">
        <v>0.128764880782018</v>
      </c>
    </row>
    <row r="32" spans="1:3" ht="14.25" customHeight="1" x14ac:dyDescent="0.25">
      <c r="B32" s="25" t="s">
        <v>40</v>
      </c>
      <c r="C32" s="99">
        <v>0.51793814003472693</v>
      </c>
    </row>
    <row r="33" spans="1:5" ht="13" customHeight="1" x14ac:dyDescent="0.25">
      <c r="B33" s="27" t="s">
        <v>41</v>
      </c>
      <c r="C33" s="48">
        <f>SUM(C29:C32)</f>
        <v>0.99999999999999989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9.19152994281567</v>
      </c>
    </row>
    <row r="38" spans="1:5" ht="15" customHeight="1" x14ac:dyDescent="0.25">
      <c r="B38" s="11" t="s">
        <v>45</v>
      </c>
      <c r="C38" s="43">
        <v>13.4086666338649</v>
      </c>
      <c r="D38" s="12"/>
      <c r="E38" s="13"/>
    </row>
    <row r="39" spans="1:5" ht="15" customHeight="1" x14ac:dyDescent="0.25">
      <c r="B39" s="11" t="s">
        <v>46</v>
      </c>
      <c r="C39" s="43">
        <v>15.586396466749299</v>
      </c>
      <c r="D39" s="12"/>
      <c r="E39" s="12"/>
    </row>
    <row r="40" spans="1:5" ht="15" customHeight="1" x14ac:dyDescent="0.25">
      <c r="B40" s="11" t="s">
        <v>47</v>
      </c>
      <c r="C40" s="100">
        <v>0.46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8.8371057369999999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1.00359E-2</v>
      </c>
      <c r="D45" s="12"/>
    </row>
    <row r="46" spans="1:5" ht="15.75" customHeight="1" x14ac:dyDescent="0.25">
      <c r="B46" s="11" t="s">
        <v>52</v>
      </c>
      <c r="C46" s="45">
        <v>8.3963400000000007E-2</v>
      </c>
      <c r="D46" s="12"/>
    </row>
    <row r="47" spans="1:5" ht="15.75" customHeight="1" x14ac:dyDescent="0.25">
      <c r="B47" s="11" t="s">
        <v>53</v>
      </c>
      <c r="C47" s="45">
        <v>7.7406499999999989E-2</v>
      </c>
      <c r="D47" s="12"/>
      <c r="E47" s="13"/>
    </row>
    <row r="48" spans="1:5" ht="15" customHeight="1" x14ac:dyDescent="0.25">
      <c r="B48" s="11" t="s">
        <v>54</v>
      </c>
      <c r="C48" s="46">
        <v>0.82859419999999995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2.9</v>
      </c>
      <c r="D51" s="12"/>
    </row>
    <row r="52" spans="1:4" ht="15" customHeight="1" x14ac:dyDescent="0.25">
      <c r="B52" s="11" t="s">
        <v>57</v>
      </c>
      <c r="C52" s="100">
        <v>2.9</v>
      </c>
    </row>
    <row r="53" spans="1:4" ht="15.75" customHeight="1" x14ac:dyDescent="0.25">
      <c r="B53" s="11" t="s">
        <v>58</v>
      </c>
      <c r="C53" s="100">
        <v>2.9</v>
      </c>
    </row>
    <row r="54" spans="1:4" ht="15.75" customHeight="1" x14ac:dyDescent="0.25">
      <c r="B54" s="11" t="s">
        <v>59</v>
      </c>
      <c r="C54" s="100">
        <v>2.9</v>
      </c>
    </row>
    <row r="55" spans="1:4" ht="15.75" customHeight="1" x14ac:dyDescent="0.25">
      <c r="B55" s="11" t="s">
        <v>60</v>
      </c>
      <c r="C55" s="100">
        <v>2.9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2.0689655172413789E-2</v>
      </c>
    </row>
    <row r="59" spans="1:4" ht="15.75" customHeight="1" x14ac:dyDescent="0.25">
      <c r="B59" s="11" t="s">
        <v>63</v>
      </c>
      <c r="C59" s="45">
        <v>0.60336800000000002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0.13782713999999999</v>
      </c>
    </row>
    <row r="63" spans="1:4" ht="15.75" customHeight="1" x14ac:dyDescent="0.3">
      <c r="A63" s="4"/>
    </row>
  </sheetData>
  <sheetProtection algorithmName="SHA-512" hashValue="Km0gCcExR7SNqMR2TQqcXGGQEmte5ZAYHDpOF9sJh79e35hCS+sDqWfjwoc1Zyc30hNS8xVXFPCIqdEH/2sCQQ==" saltValue="Tq5q36wzlTW4L6wu//aUG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0.36082986865522299</v>
      </c>
      <c r="C2" s="98">
        <v>0.95</v>
      </c>
      <c r="D2" s="56">
        <v>57.671699316737033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39.872112451281588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408.79375167203028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1.7882569301900479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13.00441189507751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13.00441189507751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13.00441189507751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13.00441189507751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13.00441189507751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13.00441189507751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0.56065306827768502</v>
      </c>
      <c r="C16" s="98">
        <v>0.95</v>
      </c>
      <c r="D16" s="56">
        <v>0.71117769497285666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0.9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9.4258488463818431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9.4258488463818431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</v>
      </c>
      <c r="C21" s="98">
        <v>0.95</v>
      </c>
      <c r="D21" s="56">
        <v>14.27197697883391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22.437389594385149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0.308</v>
      </c>
      <c r="C23" s="98">
        <v>0.95</v>
      </c>
      <c r="D23" s="56">
        <v>4.2744829442771808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0.79525616871633498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0.32913559241550799</v>
      </c>
      <c r="C27" s="98">
        <v>0.95</v>
      </c>
      <c r="D27" s="56">
        <v>18.562456349760499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0.44430960000000003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112.8316060439912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0.58382274568755699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0.2062329</v>
      </c>
      <c r="C32" s="98">
        <v>0.95</v>
      </c>
      <c r="D32" s="56">
        <v>1.5262120255615981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0.97339754139276191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0.17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2.2872839999999998E-2</v>
      </c>
      <c r="C38" s="98">
        <v>0.95</v>
      </c>
      <c r="D38" s="56">
        <v>3.6749216103589899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0.34953210000000001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tzJtoN3X2UlJAawoZvLIMEnwhKbfYWlph+YjjJ6oD+2HekBxNbRbhXU4ci6SWttXv3UYv9urbfEJy9LZLcA0eA==" saltValue="29+D8Vg9CFFPI963kp/uX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ht="13.25" customHeight="1" x14ac:dyDescent="0.25">
      <c r="A2" s="57" t="s">
        <v>180</v>
      </c>
      <c r="B2" s="47" t="s">
        <v>190</v>
      </c>
      <c r="C2" s="47"/>
    </row>
    <row r="3" spans="1:3" ht="13.25" customHeight="1" x14ac:dyDescent="0.25">
      <c r="A3" s="57" t="s">
        <v>181</v>
      </c>
      <c r="B3" s="47" t="s">
        <v>190</v>
      </c>
      <c r="C3" s="47"/>
    </row>
    <row r="4" spans="1:3" ht="13.25" customHeight="1" x14ac:dyDescent="0.25">
      <c r="A4" s="57" t="s">
        <v>192</v>
      </c>
      <c r="B4" s="47" t="s">
        <v>185</v>
      </c>
      <c r="C4" s="47"/>
    </row>
    <row r="5" spans="1:3" ht="13.25" customHeight="1" x14ac:dyDescent="0.25">
      <c r="A5" s="57" t="s">
        <v>189</v>
      </c>
      <c r="B5" s="47" t="s">
        <v>185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ITJw6CQ6ATUK/AjlgA6UB6wUaRpQpfpFuDCIVDssxvo2OUrynBlakO7AMXzi/X0y7GnRdrFKAN3A7/kUC1TqdQ==" saltValue="M5FyORBYMB+iclV7dD51+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ht="13.25" customHeight="1" x14ac:dyDescent="0.25">
      <c r="A2" s="33" t="s">
        <v>172</v>
      </c>
    </row>
    <row r="3" spans="1:1" ht="13.25" customHeight="1" x14ac:dyDescent="0.25">
      <c r="A3" s="33" t="s">
        <v>182</v>
      </c>
    </row>
    <row r="4" spans="1:1" ht="13.25" customHeight="1" x14ac:dyDescent="0.25">
      <c r="A4" s="33" t="s">
        <v>186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ge6LjRxfRxG2jqdyTPo0A5RmgyD26jkoFhTZSVTVISX620gBkJMxcM9kYSPtrEFka05YT//UnbBbo+vmbcrx1g==" saltValue="4OKKdYGW34xT6i+WOSwgu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2.9</v>
      </c>
      <c r="C2" s="21">
        <f>'Données pop de l''année de ref'!C52</f>
        <v>2.9</v>
      </c>
      <c r="D2" s="21">
        <f>'Données pop de l''année de ref'!C53</f>
        <v>2.9</v>
      </c>
      <c r="E2" s="21">
        <f>'Données pop de l''année de ref'!C54</f>
        <v>2.9</v>
      </c>
      <c r="F2" s="21">
        <f>'Données pop de l''année de ref'!C55</f>
        <v>2.9</v>
      </c>
    </row>
    <row r="3" spans="1:6" ht="15.75" customHeight="1" x14ac:dyDescent="0.25">
      <c r="A3" s="3" t="s">
        <v>209</v>
      </c>
      <c r="B3" s="21">
        <f>frac_mam_1month * 2.6</f>
        <v>7.0148817449808235E-2</v>
      </c>
      <c r="C3" s="21">
        <f>frac_mam_1_5months * 2.6</f>
        <v>7.0148817449808235E-2</v>
      </c>
      <c r="D3" s="21">
        <f>frac_mam_6_11months * 2.6</f>
        <v>2.7547737024724545E-2</v>
      </c>
      <c r="E3" s="21">
        <f>frac_mam_12_23months * 2.6</f>
        <v>3.173911180347206E-2</v>
      </c>
      <c r="F3" s="21">
        <f>frac_mam_24_59months * 2.6</f>
        <v>5.0128158926963783E-2</v>
      </c>
    </row>
    <row r="4" spans="1:6" ht="15.75" customHeight="1" x14ac:dyDescent="0.25">
      <c r="A4" s="3" t="s">
        <v>208</v>
      </c>
      <c r="B4" s="21">
        <f>frac_sam_1month * 2.6</f>
        <v>6.2171591073274544E-2</v>
      </c>
      <c r="C4" s="21">
        <f>frac_sam_1_5months * 2.6</f>
        <v>6.2171591073274544E-2</v>
      </c>
      <c r="D4" s="21">
        <f>frac_sam_6_11months * 2.6</f>
        <v>2.5362354703247637E-2</v>
      </c>
      <c r="E4" s="21">
        <f>frac_sam_12_23months * 2.6</f>
        <v>1.5537999197840602E-2</v>
      </c>
      <c r="F4" s="21">
        <f>frac_sam_24_59months * 2.6</f>
        <v>1.0299993865191941E-2</v>
      </c>
    </row>
  </sheetData>
  <sheetProtection algorithmName="SHA-512" hashValue="ZdtGuQVaz0m5j+n54dHFcZwQlzn3tmmrwoP41vO/RkqjIrTQSO0jj175vnBUUI3QdsnEvc9QFSIZxPR+NMMctw==" saltValue="Y0hFIv5cjllI5sKDNooND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1E-3</v>
      </c>
      <c r="E2" s="60">
        <f>food_insecure</f>
        <v>1E-3</v>
      </c>
      <c r="F2" s="60">
        <f>food_insecure</f>
        <v>1E-3</v>
      </c>
      <c r="G2" s="60">
        <f>food_insecure</f>
        <v>1E-3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1E-3</v>
      </c>
      <c r="F5" s="60">
        <f>food_insecure</f>
        <v>1E-3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1E-3</v>
      </c>
      <c r="F8" s="60">
        <f>food_insecure</f>
        <v>1E-3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1E-3</v>
      </c>
      <c r="F9" s="60">
        <f>food_insecure</f>
        <v>1E-3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0.77200000000000002</v>
      </c>
      <c r="E10" s="60">
        <f>IF(ISBLANK(comm_deliv), frac_children_health_facility,1)</f>
        <v>0.77200000000000002</v>
      </c>
      <c r="F10" s="60">
        <f>IF(ISBLANK(comm_deliv), frac_children_health_facility,1)</f>
        <v>0.77200000000000002</v>
      </c>
      <c r="G10" s="60">
        <f>IF(ISBLANK(comm_deliv), frac_children_health_facility,1)</f>
        <v>0.77200000000000002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1E-3</v>
      </c>
      <c r="I15" s="60">
        <f>food_insecure</f>
        <v>1E-3</v>
      </c>
      <c r="J15" s="60">
        <f>food_insecure</f>
        <v>1E-3</v>
      </c>
      <c r="K15" s="60">
        <f>food_insecure</f>
        <v>1E-3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0.94499999999999995</v>
      </c>
      <c r="I18" s="60">
        <f>frac_PW_health_facility</f>
        <v>0.94499999999999995</v>
      </c>
      <c r="J18" s="60">
        <f>frac_PW_health_facility</f>
        <v>0.94499999999999995</v>
      </c>
      <c r="K18" s="60">
        <f>frac_PW_health_facility</f>
        <v>0.94499999999999995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0.42</v>
      </c>
      <c r="M24" s="60">
        <f>famplan_unmet_need</f>
        <v>0.42</v>
      </c>
      <c r="N24" s="60">
        <f>famplan_unmet_need</f>
        <v>0.42</v>
      </c>
      <c r="O24" s="60">
        <f>famplan_unmet_need</f>
        <v>0.42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0.17104290542068504</v>
      </c>
      <c r="M25" s="60">
        <f>(1-food_insecure)*(0.49)+food_insecure*(0.7)</f>
        <v>0.49020999999999998</v>
      </c>
      <c r="N25" s="60">
        <f>(1-food_insecure)*(0.49)+food_insecure*(0.7)</f>
        <v>0.49020999999999998</v>
      </c>
      <c r="O25" s="60">
        <f>(1-food_insecure)*(0.49)+food_insecure*(0.7)</f>
        <v>0.49020999999999998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7.3304102323150738E-2</v>
      </c>
      <c r="M26" s="60">
        <f>(1-food_insecure)*(0.21)+food_insecure*(0.3)</f>
        <v>0.21009</v>
      </c>
      <c r="N26" s="60">
        <f>(1-food_insecure)*(0.21)+food_insecure*(0.3)</f>
        <v>0.21009</v>
      </c>
      <c r="O26" s="60">
        <f>(1-food_insecure)*(0.21)+food_insecure*(0.3)</f>
        <v>0.21009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0.10457061005401624</v>
      </c>
      <c r="M27" s="60">
        <f>(1-food_insecure)*(0.3)</f>
        <v>0.29969999999999997</v>
      </c>
      <c r="N27" s="60">
        <f>(1-food_insecure)*(0.3)</f>
        <v>0.29969999999999997</v>
      </c>
      <c r="O27" s="60">
        <f>(1-food_insecure)*(0.3)</f>
        <v>0.29969999999999997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0.65108238220214798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qDp8H/Rnt+IGdXuq+oXq6CKc3oQN1Bs5xf3etHhegyH+5IZvyHreT+M6URLOxVvocbuJqqeBcbVeW5XGD5Fnhw==" saltValue="44SLjKbGfQvOKOYE5nqyF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tC17gz3WQ8aFldQlY2np7fhe8clqNrLUDeevAqzem+9837utHL7+qDTqyw27bsgGC2mfH0Ikc+WadlR8/MQESA==" saltValue="y30+WfhdK6zyVTgI+3E/l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gu+tvjc81LnNW98qTRRY0u7KC8Zpq06nQ94RxZXN7jlAt04N/Jn7KnDFhk2bdUK+cgJVNcWoEbRUp3UanU7LjQ==" saltValue="zf/MbddKP+WCORFzi5i58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EInGOMPGapLKeUrOgns4kVKTSdS0xWT1Fb47qLBDql8R00mX4LIoObK31BChkmARQ0qhFMedTWwsE6m8WKwZjA==" saltValue="WFwJ25D9flXV9K4CbyYGa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A9pitpioYp6LinOhUDl+rf5/YBOtzlsz8h5mmsBNGjINx0YfDMPsUrpYPVQ2P4bJxSB0Vrp4ziUyJZF+UHkpng==" saltValue="+93t7Kh/Z+JIe1pVLmcjH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qJnjkJ63cWNyUyLvUZu+qTU36B8E6mCgBzvaBMeVAjNfSyh0k5adN1FADvOu81EEOazaXvcu3rPdcNQSIt+yxQ==" saltValue="AHzy2VY6Zd1X8W+phpySR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245958.62400000001</v>
      </c>
      <c r="C2" s="49">
        <v>496000</v>
      </c>
      <c r="D2" s="49">
        <v>874000</v>
      </c>
      <c r="E2" s="49">
        <v>727000</v>
      </c>
      <c r="F2" s="49">
        <v>557000</v>
      </c>
      <c r="G2" s="17">
        <f t="shared" ref="G2:G11" si="0">C2+D2+E2+F2</f>
        <v>2654000</v>
      </c>
      <c r="H2" s="17">
        <f t="shared" ref="H2:H11" si="1">(B2 + stillbirth*B2/(1000-stillbirth))/(1-abortion)</f>
        <v>281990.41548207204</v>
      </c>
      <c r="I2" s="17">
        <f t="shared" ref="I2:I11" si="2">G2-H2</f>
        <v>2372009.5845179278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243522.78200000001</v>
      </c>
      <c r="C3" s="50">
        <v>499000</v>
      </c>
      <c r="D3" s="50">
        <v>877000</v>
      </c>
      <c r="E3" s="50">
        <v>731000</v>
      </c>
      <c r="F3" s="50">
        <v>568000</v>
      </c>
      <c r="G3" s="17">
        <f t="shared" si="0"/>
        <v>2675000</v>
      </c>
      <c r="H3" s="17">
        <f t="shared" si="1"/>
        <v>279197.73398768913</v>
      </c>
      <c r="I3" s="17">
        <f t="shared" si="2"/>
        <v>2395802.266012311</v>
      </c>
    </row>
    <row r="4" spans="1:9" ht="15.75" customHeight="1" x14ac:dyDescent="0.25">
      <c r="A4" s="5">
        <f t="shared" si="3"/>
        <v>2023</v>
      </c>
      <c r="B4" s="49">
        <v>240646.4344</v>
      </c>
      <c r="C4" s="50">
        <v>502000</v>
      </c>
      <c r="D4" s="50">
        <v>878000</v>
      </c>
      <c r="E4" s="50">
        <v>733000</v>
      </c>
      <c r="F4" s="50">
        <v>578000</v>
      </c>
      <c r="G4" s="17">
        <f t="shared" si="0"/>
        <v>2691000</v>
      </c>
      <c r="H4" s="17">
        <f t="shared" si="1"/>
        <v>275900.01487703552</v>
      </c>
      <c r="I4" s="17">
        <f t="shared" si="2"/>
        <v>2415099.9851229647</v>
      </c>
    </row>
    <row r="5" spans="1:9" ht="15.75" customHeight="1" x14ac:dyDescent="0.25">
      <c r="A5" s="5">
        <f t="shared" si="3"/>
        <v>2024</v>
      </c>
      <c r="B5" s="49">
        <v>237620.72519999999</v>
      </c>
      <c r="C5" s="50">
        <v>504000</v>
      </c>
      <c r="D5" s="50">
        <v>879000</v>
      </c>
      <c r="E5" s="50">
        <v>734000</v>
      </c>
      <c r="F5" s="50">
        <v>588000</v>
      </c>
      <c r="G5" s="17">
        <f t="shared" si="0"/>
        <v>2705000</v>
      </c>
      <c r="H5" s="17">
        <f t="shared" si="1"/>
        <v>272431.05338847259</v>
      </c>
      <c r="I5" s="17">
        <f t="shared" si="2"/>
        <v>2432568.9466115274</v>
      </c>
    </row>
    <row r="6" spans="1:9" ht="15.75" customHeight="1" x14ac:dyDescent="0.25">
      <c r="A6" s="5">
        <f t="shared" si="3"/>
        <v>2025</v>
      </c>
      <c r="B6" s="49">
        <v>234671.98</v>
      </c>
      <c r="C6" s="50">
        <v>507000</v>
      </c>
      <c r="D6" s="50">
        <v>882000</v>
      </c>
      <c r="E6" s="50">
        <v>737000</v>
      </c>
      <c r="F6" s="50">
        <v>597000</v>
      </c>
      <c r="G6" s="17">
        <f t="shared" si="0"/>
        <v>2723000</v>
      </c>
      <c r="H6" s="17">
        <f t="shared" si="1"/>
        <v>269050.3307670175</v>
      </c>
      <c r="I6" s="17">
        <f t="shared" si="2"/>
        <v>2453949.6692329827</v>
      </c>
    </row>
    <row r="7" spans="1:9" ht="15.75" customHeight="1" x14ac:dyDescent="0.25">
      <c r="A7" s="5">
        <f t="shared" si="3"/>
        <v>2026</v>
      </c>
      <c r="B7" s="49">
        <v>232946.60399999999</v>
      </c>
      <c r="C7" s="50">
        <v>511000</v>
      </c>
      <c r="D7" s="50">
        <v>887000</v>
      </c>
      <c r="E7" s="50">
        <v>741000</v>
      </c>
      <c r="F7" s="50">
        <v>607000</v>
      </c>
      <c r="G7" s="17">
        <f t="shared" si="0"/>
        <v>2746000</v>
      </c>
      <c r="H7" s="17">
        <f t="shared" si="1"/>
        <v>267072.19522864826</v>
      </c>
      <c r="I7" s="17">
        <f t="shared" si="2"/>
        <v>2478927.8047713516</v>
      </c>
    </row>
    <row r="8" spans="1:9" ht="15.75" customHeight="1" x14ac:dyDescent="0.25">
      <c r="A8" s="5">
        <f t="shared" si="3"/>
        <v>2027</v>
      </c>
      <c r="B8" s="49">
        <v>231424.416</v>
      </c>
      <c r="C8" s="50">
        <v>515000</v>
      </c>
      <c r="D8" s="50">
        <v>892000</v>
      </c>
      <c r="E8" s="50">
        <v>746000</v>
      </c>
      <c r="F8" s="50">
        <v>617000</v>
      </c>
      <c r="G8" s="17">
        <f t="shared" si="0"/>
        <v>2770000</v>
      </c>
      <c r="H8" s="17">
        <f t="shared" si="1"/>
        <v>265327.01378478954</v>
      </c>
      <c r="I8" s="17">
        <f t="shared" si="2"/>
        <v>2504672.9862152105</v>
      </c>
    </row>
    <row r="9" spans="1:9" ht="15.75" customHeight="1" x14ac:dyDescent="0.25">
      <c r="A9" s="5">
        <f t="shared" si="3"/>
        <v>2028</v>
      </c>
      <c r="B9" s="49">
        <v>230051.25</v>
      </c>
      <c r="C9" s="50">
        <v>520000</v>
      </c>
      <c r="D9" s="50">
        <v>899000</v>
      </c>
      <c r="E9" s="50">
        <v>752000</v>
      </c>
      <c r="F9" s="50">
        <v>627000</v>
      </c>
      <c r="G9" s="17">
        <f t="shared" si="0"/>
        <v>2798000</v>
      </c>
      <c r="H9" s="17">
        <f t="shared" si="1"/>
        <v>263752.68536902376</v>
      </c>
      <c r="I9" s="17">
        <f t="shared" si="2"/>
        <v>2534247.3146309764</v>
      </c>
    </row>
    <row r="10" spans="1:9" ht="15.75" customHeight="1" x14ac:dyDescent="0.25">
      <c r="A10" s="5">
        <f t="shared" si="3"/>
        <v>2029</v>
      </c>
      <c r="B10" s="49">
        <v>228775.58799999999</v>
      </c>
      <c r="C10" s="50">
        <v>523000</v>
      </c>
      <c r="D10" s="50">
        <v>909000</v>
      </c>
      <c r="E10" s="50">
        <v>759000</v>
      </c>
      <c r="F10" s="50">
        <v>637000</v>
      </c>
      <c r="G10" s="17">
        <f t="shared" si="0"/>
        <v>2828000</v>
      </c>
      <c r="H10" s="17">
        <f t="shared" si="1"/>
        <v>262290.14483458537</v>
      </c>
      <c r="I10" s="17">
        <f t="shared" si="2"/>
        <v>2565709.8551654145</v>
      </c>
    </row>
    <row r="11" spans="1:9" ht="15.75" customHeight="1" x14ac:dyDescent="0.25">
      <c r="A11" s="5">
        <f t="shared" si="3"/>
        <v>2030</v>
      </c>
      <c r="B11" s="49">
        <v>227589.486</v>
      </c>
      <c r="C11" s="50">
        <v>525000</v>
      </c>
      <c r="D11" s="50">
        <v>919000</v>
      </c>
      <c r="E11" s="50">
        <v>766000</v>
      </c>
      <c r="F11" s="50">
        <v>646000</v>
      </c>
      <c r="G11" s="17">
        <f t="shared" si="0"/>
        <v>2856000</v>
      </c>
      <c r="H11" s="17">
        <f t="shared" si="1"/>
        <v>260930.28442251819</v>
      </c>
      <c r="I11" s="17">
        <f t="shared" si="2"/>
        <v>2595069.7155774818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NXQWZdcZOh4e4AEGJPyHXEAw/gO+PpJ0ekz4pb89RQfDNL6tLMxo5tsF6fxEVku2xc26Rz8vpgmquNlJrT++Tg==" saltValue="yxfVz53PLcALHuOEHjpa+g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109</v>
      </c>
      <c r="C5" s="8" t="s">
        <v>153</v>
      </c>
      <c r="D5" s="88">
        <f>IFERROR((MIN(1,1.56*'Dist. l''allaitement maternel'!$C$2)/(1-MIN(1,1.56*'Dist. l''allaitement maternel'!$C$2))) /
('Dist. l''allaitement maternel'!$C$2/(1-'Dist. l''allaitement maternel'!$C$2)), 1.56)</f>
        <v>2.6816521917326424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154</v>
      </c>
      <c r="D6" s="88">
        <f>IFERROR((MIN(1,1.56*'Dist. l''allaitement maternel'!$C$2)/(1-MIN(1,1.56*'Dist. l''allaitement maternel'!$C$2))) /
('Dist. l''allaitement maternel'!$C$2/(1-'Dist. l''allaitement maternel'!$C$2)), 1.56)</f>
        <v>2.6816521917326424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96</v>
      </c>
      <c r="C8" s="8" t="s">
        <v>153</v>
      </c>
      <c r="D8" s="88">
        <v>1</v>
      </c>
      <c r="E8" s="88">
        <f>IFERROR((MIN(1,1.56*'Dist. l''allaitement maternel'!$D$2)/(1-MIN(1,1.56*'Dist. l''allaitement maternel'!$D$2))) /
('Dist. l''allaitement maternel'!$D$2/(1-'Dist. l''allaitement maternel'!$D$2)), 1.56)</f>
        <v>1.8256217850545697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154</v>
      </c>
      <c r="D9" s="88">
        <v>1</v>
      </c>
      <c r="E9" s="88">
        <f>IFERROR((MIN(1,1.56*'Dist. l''allaitement maternel'!$D$2)/(1-MIN(1,1.56*'Dist. l''allaitement maternel'!$D$2))) /
('Dist. l''allaitement maternel'!$D$2/(1-'Dist. l''allaitement maternel'!$D$2)), 1.56)</f>
        <v>1.8256217850545697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154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IFERROR((MIN(1,1.37*'Dist. l''allaitement maternel'!$C$2)/(1-MIN(1,1.37*'Dist. l''allaitement maternel'!$C$2))) /
('Dist. l''allaitement maternel'!$C$2/(1-'Dist. l''allaitement maternel'!$C$2)), 1.37)</f>
        <v>1.893197032258046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IFERROR((MIN(1,1.37*'Dist. l''allaitement maternel'!$C$2)/(1-MIN(1,1.37*'Dist. l''allaitement maternel'!$C$2))) /
('Dist. l''allaitement maternel'!$C$2/(1-'Dist. l''allaitement maternel'!$C$2)), 1.37)</f>
        <v>1.893197032258046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IFERROR((MIN(1,1.37*'Dist. l''allaitement maternel'!$D$2)/(1-MIN(1,1.37*'Dist. l''allaitement maternel'!$D$2))) /
('Dist. l''allaitement maternel'!$D$2/(1-'Dist. l''allaitement maternel'!$D$2)), 1.37)</f>
        <v>1.5157075264671522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IFERROR((MIN(1,1.37*'Dist. l''allaitement maternel'!$D$2)/(1-MIN(1,1.37*'Dist. l''allaitement maternel'!$D$2))) /
('Dist. l''allaitement maternel'!$D$2/(1-'Dist. l''allaitement maternel'!$D$2)), 1.37)</f>
        <v>1.5157075264671522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IFERROR((MIN(1,1.77*'Dist. l''allaitement maternel'!$C$2)/(1-MIN(1,1.77*'Dist. l''allaitement maternel'!$C$2))) /
('Dist. l''allaitement maternel'!$C$2/(1-'Dist. l''allaitement maternel'!$C$2)), 1.77)</f>
        <v>4.1658819673433163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IFERROR((MIN(1,1.77*'Dist. l''allaitement maternel'!$C$2)/(1-MIN(1,1.77*'Dist. l''allaitement maternel'!$C$2))) /
('Dist. l''allaitement maternel'!$C$2/(1-'Dist. l''allaitement maternel'!$C$2)), 1.77)</f>
        <v>4.1658819673433163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IFERROR((MIN(1,1.77*'Dist. l''allaitement maternel'!$D$2)/(1-MIN(1,1.77*'Dist. l''allaitement maternel'!$D$2))) /
('Dist. l''allaitement maternel'!$D$2/(1-'Dist. l''allaitement maternel'!$D$2)), 1.77)</f>
        <v>2.2126599805813445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IFERROR((MIN(1,1.77*'Dist. l''allaitement maternel'!$D$2)/(1-MIN(1,1.77*'Dist. l''allaitement maternel'!$D$2))) /
('Dist. l''allaitement maternel'!$D$2/(1-'Dist. l''allaitement maternel'!$D$2)), 1.77)</f>
        <v>2.2126599805813445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/uBYoNd2vnDK4xxkskG1Zesyxxi6FlAEOs3r1un/2chAMbq+v8AIK5b9S4s9/nkL0ByUx4UvmqoYJPwbvF3Z7w==" saltValue="n24Dn9oYL+mIZ6Jop8xLm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7UncvGjm0iyR4kAYV9ZPNRyJEW4Hth66DwgcS/P9twrbxV4cOUqisaRBJfESxuj3dPdt3QN33/QQiTFzocMqyg==" saltValue="q3VGCpVKLDSrgRGvrbPGs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3/Y82w0ioom7xS89kc+DV4XsR6X+k18yH0ZMN4fqUUIV9L3rST8gMEVUGvYo0bucSSBB3QIxtW6AJrO0SZvl2A==" saltValue="spBE86fNLz7Q6gGLdGqoy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0.62149522092809584</v>
      </c>
      <c r="F6" s="90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0.61362013048592579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0.87135194464013144</v>
      </c>
      <c r="F7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0.86756759606270328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0.87135194464013144</v>
      </c>
      <c r="F8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0.86756759606270328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0.4205230288468686</v>
      </c>
      <c r="F29" s="90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0.41241976031486227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0.83958404615512361</v>
      </c>
      <c r="F30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0.83504211526464955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0.83958404615512361</v>
      </c>
      <c r="F31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0.83504211526464955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0.91395275805102005</v>
      </c>
      <c r="F52" s="90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0.91129399248228526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0.90327632447425865</v>
      </c>
      <c r="F53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0.9003236468523319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0.90327632447425865</v>
      </c>
      <c r="F54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0.9003236468523319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zsuesJMPDlbpCOXvxN8ANilo6X1RF4ptciBT1r0msSrq68g2Z4NFQXRlxcyxTJu/yvyCu3cb6I6ZH3KiWvbnHg==" saltValue="L9vCVGDhDcH9/9fACRIK5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blVOwfOAKgikQAxaqAcAyP1hSiwiJqxw/Pd60ZhGbJ20KELn6YWkmTlACuShP9kEsyKu6eF8Wj6tYUWWuuFJeg==" saltValue="2Rf+XED/Up/Nz0PH/o9B4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0.51437639753642261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0.64463221768551271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0.64463221768551271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0.61794563912236644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0.61794563912236644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0.61794563912236644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0.61794563912236644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0.6274614156466205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0.6274614156466205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0.6274614156466205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0.6274614156466205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0.62230755318585451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0.73834018731386708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0.73834018731386708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0.71558589306029574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0.71558589306029574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0.71558589306029574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0.71558589306029574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0.72375690607734799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0.72375690607734799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0.72375690607734799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0.72375690607734799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177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179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180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181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182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185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186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189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190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205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174</v>
      </c>
      <c r="C42" s="90">
        <f t="shared" ref="C42:D44" si="9">IF(C19=1,1,C19*0.9)</f>
        <v>1</v>
      </c>
      <c r="D42" s="90">
        <f t="shared" si="9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0.32594182325028931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0.45299118051131376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0.45299118051131376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0.42475552109646597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0.42475552109646597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0.42475552109646597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0.42475552109646597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0.43468108639547742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0.43468108639547742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0.43468108639547742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0.43468108639547742</v>
      </c>
    </row>
    <row r="43" spans="1:15" x14ac:dyDescent="0.25">
      <c r="B43" s="5" t="s">
        <v>175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183</v>
      </c>
      <c r="C44" s="90">
        <f t="shared" si="9"/>
        <v>1</v>
      </c>
      <c r="D44" s="90">
        <f t="shared" si="9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0.49009072183523855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0.6220745391732373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0.6220745391732373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0.59475888153451295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0.59475888153451295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0.59475888153451295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0.59475888153451295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0.60448253131179941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0.60448253131179941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0.60448253131179941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0.60448253131179941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176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177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178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179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180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181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182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185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186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189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190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205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174</v>
      </c>
      <c r="C65" s="90">
        <f t="shared" ref="C65:D67" si="20">IF(C19=1,1,C19*1.05)</f>
        <v>1</v>
      </c>
      <c r="D65" s="90">
        <f t="shared" si="2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0.93016057317679579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0.95799942102527091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0.95799942102527091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0.95313451955071604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0.95313451955071604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0.95313451955071604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0.95313451955071604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0.95491094912452068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0.95491094912452068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0.95491094912452068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0.95491094912452068</v>
      </c>
    </row>
    <row r="66" spans="2:15" x14ac:dyDescent="0.25">
      <c r="B66" s="5" t="s">
        <v>175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183</v>
      </c>
      <c r="C67" s="90">
        <f t="shared" si="20"/>
        <v>1</v>
      </c>
      <c r="D67" s="90">
        <f t="shared" si="2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0.82569328068606185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0.89026122048350287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0.89026122048350287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0.87854496872532961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0.87854496872532961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0.87854496872532961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0.87854496872532961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0.88280105479050697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0.88280105479050697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0.88280105479050697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0.88280105479050697</v>
      </c>
    </row>
  </sheetData>
  <sheetProtection algorithmName="SHA-512" hashValue="+zYpQHIqXuamndQKgoESpMkEWsdLjMU7bTl+EA5Agm8E4Coqj0tJKfa2hhmOPwBU9itmQlYjXU7njwH8gtJZkQ==" saltValue="wrMDeRkodeggTQzl53mMF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ht="13.25" customHeight="1" x14ac:dyDescent="0.25">
      <c r="B3" s="11" t="s">
        <v>161</v>
      </c>
      <c r="C3" s="90">
        <v>1</v>
      </c>
      <c r="D3" s="90">
        <f>IF(ISBLANK('Dist. de l''état nutritionnel'!D$11),(1/1.33),((1/1.33)*'Dist. de l''état nutritionnel'!D$11/(1-(1/1.33)*'Dist. de l''état nutritionnel'!D$11))
/ ('Dist. de l''état nutritionnel'!D$11/(1-'Dist. de l''état nutritionnel'!D$11)))</f>
        <v>0.74733705691826258</v>
      </c>
      <c r="E3" s="90">
        <f>IF(ISBLANK('Dist. de l''état nutritionnel'!E$11),(1/1.33),((1/1.33)*'Dist. de l''état nutritionnel'!E$11/(1-(1/1.33)*'Dist. de l''état nutritionnel'!E$11))
/ ('Dist. de l''état nutritionnel'!E$11/(1-'Dist. de l''état nutritionnel'!E$11)))</f>
        <v>0.75004643989277653</v>
      </c>
      <c r="F3" s="90">
        <f>IF(ISBLANK('Dist. de l''état nutritionnel'!F$11),(1/1.33),((1/1.33)*'Dist. de l''état nutritionnel'!F$11/(1-(1/1.33)*'Dist. de l''état nutritionnel'!F$11))
/ ('Dist. de l''état nutritionnel'!F$11/(1-'Dist. de l''état nutritionnel'!F$11)))</f>
        <v>0.75075977605560495</v>
      </c>
      <c r="G3" s="90">
        <f>IF(ISBLANK('Dist. de l''état nutritionnel'!G$11),(1/1.33),((1/1.33)*'Dist. de l''état nutritionnel'!G$11/(1-(1/1.33)*'Dist. de l''état nutritionnel'!G$11))
/ ('Dist. de l''état nutritionnel'!G$11/(1-'Dist. de l''état nutritionnel'!G$11)))</f>
        <v>0.75113844056232215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165</v>
      </c>
      <c r="C5" s="90">
        <v>1</v>
      </c>
      <c r="D5" s="90">
        <f>IF(ISBLANK('Dist. de l''état nutritionnel'!D$10),(1/1.33),((1/1.33)*'Dist. de l''état nutritionnel'!D$10/(1-(1/1.33)*'Dist. de l''état nutritionnel'!D$10))
/ ('Dist. de l''état nutritionnel'!D$10/(1-'Dist. de l''état nutritionnel'!D$10)))</f>
        <v>0.74674212243462712</v>
      </c>
      <c r="E5" s="90">
        <f>IF(ISBLANK('Dist. de l''état nutritionnel'!E$10),(1/1.33),((1/1.33)*'Dist. de l''état nutritionnel'!E$10/(1-(1/1.33)*'Dist. de l''état nutritionnel'!E$10))
/ ('Dist. de l''état nutritionnel'!E$10/(1-'Dist. de l''état nutritionnel'!E$10)))</f>
        <v>0.74988720605141279</v>
      </c>
      <c r="F5" s="90">
        <f>IF(ISBLANK('Dist. de l''état nutritionnel'!F$10),(1/1.33),((1/1.33)*'Dist. de l''état nutritionnel'!F$10/(1-(1/1.33)*'Dist. de l''état nutritionnel'!F$10))
/ ('Dist. de l''état nutritionnel'!F$10/(1-'Dist. de l''état nutritionnel'!F$10)))</f>
        <v>0.74958124089271461</v>
      </c>
      <c r="G5" s="90">
        <f>IF(ISBLANK('Dist. de l''état nutritionnel'!G$10),(1/1.33),((1/1.33)*'Dist. de l''état nutritionnel'!G$10/(1-(1/1.33)*'Dist. de l''état nutritionnel'!G$10))
/ ('Dist. de l''état nutritionnel'!G$10/(1-'Dist. de l''état nutritionnel'!G$10)))</f>
        <v>0.74822996872739134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ht="13.25" customHeight="1" x14ac:dyDescent="0.25">
      <c r="B10" s="11" t="s">
        <v>161</v>
      </c>
      <c r="C10" s="90">
        <v>1</v>
      </c>
      <c r="D10" s="90">
        <f>IF(ISBLANK('Dist. de l''état nutritionnel'!D$11),(1/1.54),((1/1.54)*'Dist. de l''état nutritionnel'!D$11/(1-(1/1.54)*'Dist. de l''état nutritionnel'!D$11))
/ ('Dist. de l''état nutritionnel'!D$11/(1-'Dist. de l''état nutritionnel'!D$11)))</f>
        <v>0.64382011230613689</v>
      </c>
      <c r="E10" s="90">
        <f>IF(ISBLANK('Dist. de l''état nutritionnel'!E$11),(1/1.54),((1/1.54)*'Dist. de l''état nutritionnel'!E$11/(1-(1/1.54)*'Dist. de l''état nutritionnel'!E$11))
/ ('Dist. de l''état nutritionnel'!E$11/(1-'Dist. de l''état nutritionnel'!E$11)))</f>
        <v>0.64711538843963246</v>
      </c>
      <c r="F10" s="90">
        <f>IF(ISBLANK('Dist. de l''état nutritionnel'!F$11),(1/1.54),((1/1.54)*'Dist. de l''état nutritionnel'!F$11/(1-(1/1.54)*'Dist. de l''état nutritionnel'!F$11))
/ ('Dist. de l''état nutritionnel'!F$11/(1-'Dist. de l''état nutritionnel'!F$11)))</f>
        <v>0.64798461168299271</v>
      </c>
      <c r="G10" s="90">
        <f>IF(ISBLANK('Dist. de l''état nutritionnel'!G$11),(1/1.54),((1/1.54)*'Dist. de l''état nutritionnel'!G$11/(1-(1/1.54)*'Dist. de l''état nutritionnel'!G$11))
/ ('Dist. de l''état nutritionnel'!G$11/(1-'Dist. de l''état nutritionnel'!G$11)))</f>
        <v>0.64844630346713938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165</v>
      </c>
      <c r="C12" s="90">
        <v>1</v>
      </c>
      <c r="D12" s="90">
        <f>IF(ISBLANK('Dist. de l''état nutritionnel'!D$10),(1/1.54),((1/1.54)*'Dist. de l''état nutritionnel'!D$10/(1-(1/1.54)*'Dist. de l''état nutritionnel'!D$10))
/ ('Dist. de l''état nutritionnel'!D$10/(1-'Dist. de l''état nutritionnel'!D$10)))</f>
        <v>0.64309783597613601</v>
      </c>
      <c r="E12" s="90">
        <f>IF(ISBLANK('Dist. de l''état nutritionnel'!E$10),(1/1.54),((1/1.54)*'Dist. de l''état nutritionnel'!E$10/(1-(1/1.54)*'Dist. de l''état nutritionnel'!E$10))
/ ('Dist. de l''état nutritionnel'!E$10/(1-'Dist. de l''état nutritionnel'!E$10)))</f>
        <v>0.64692144978763211</v>
      </c>
      <c r="F12" s="90">
        <f>IF(ISBLANK('Dist. de l''état nutritionnel'!F$10),(1/1.54),((1/1.54)*'Dist. de l''état nutritionnel'!F$10/(1-(1/1.54)*'Dist. de l''état nutritionnel'!F$10))
/ ('Dist. de l''état nutritionnel'!F$10/(1-'Dist. de l''état nutritionnel'!F$10)))</f>
        <v>0.64654889507082725</v>
      </c>
      <c r="G12" s="90">
        <f>IF(ISBLANK('Dist. de l''état nutritionnel'!G$10),(1/1.54),((1/1.54)*'Dist. de l''état nutritionnel'!G$10/(1-(1/1.54)*'Dist. de l''état nutritionnel'!G$10))
/ ('Dist. de l''état nutritionnel'!G$10/(1-'Dist. de l''état nutritionnel'!G$10)))</f>
        <v>0.64490503070555505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ht="13.25" customHeight="1" x14ac:dyDescent="0.25">
      <c r="B17" s="11" t="s">
        <v>161</v>
      </c>
      <c r="C17" s="90">
        <v>1</v>
      </c>
      <c r="D17" s="90">
        <f>IF(ISBLANK('Dist. de l''état nutritionnel'!D$11),(1/1.16),((1/1.16)*'Dist. de l''état nutritionnel'!D$11/(1-(1/1.16)*'Dist. de l''état nutritionnel'!D$11))
/ ('Dist. de l''état nutritionnel'!D$11/(1-'Dist. de l''état nutritionnel'!D$11)))</f>
        <v>0.85916582062017832</v>
      </c>
      <c r="E17" s="90">
        <f>IF(ISBLANK('Dist. de l''état nutritionnel'!E$11),(1/1.16),((1/1.16)*'Dist. de l''état nutritionnel'!E$11/(1-(1/1.16)*'Dist. de l''état nutritionnel'!E$11))
/ ('Dist. de l''état nutritionnel'!E$11/(1-'Dist. de l''état nutritionnel'!E$11)))</f>
        <v>0.8608992297498077</v>
      </c>
      <c r="F17" s="90">
        <f>IF(ISBLANK('Dist. de l''état nutritionnel'!F$11),(1/1.16),((1/1.16)*'Dist. de l''état nutritionnel'!F$11/(1-(1/1.16)*'Dist. de l''état nutritionnel'!F$11))
/ ('Dist. de l''état nutritionnel'!F$11/(1-'Dist. de l''état nutritionnel'!F$11)))</f>
        <v>0.86135468474895394</v>
      </c>
      <c r="G17" s="90">
        <f>IF(ISBLANK('Dist. de l''état nutritionnel'!G$11),(1/1.16),((1/1.16)*'Dist. de l''état nutritionnel'!G$11/(1-(1/1.16)*'Dist. de l''état nutritionnel'!G$11))
/ ('Dist. de l''état nutritionnel'!G$11/(1-'Dist. de l''état nutritionnel'!G$11)))</f>
        <v>0.86159630064513437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165</v>
      </c>
      <c r="C19" s="90">
        <v>1</v>
      </c>
      <c r="D19" s="90">
        <f>IF(ISBLANK('Dist. de l''état nutritionnel'!D$10),(1/1.16),((1/1.16)*'Dist. de l''état nutritionnel'!D$10/(1-(1/1.16)*'Dist. de l''état nutritionnel'!D$10))
/ ('Dist. de l''état nutritionnel'!D$10/(1-'Dist. de l''état nutritionnel'!D$10)))</f>
        <v>0.85878444828979006</v>
      </c>
      <c r="E19" s="90">
        <f>IF(ISBLANK('Dist. de l''état nutritionnel'!E$10),(1/1.16),((1/1.16)*'Dist. de l''état nutritionnel'!E$10/(1-(1/1.16)*'Dist. de l''état nutritionnel'!E$10))
/ ('Dist. de l''état nutritionnel'!E$10/(1-'Dist. de l''état nutritionnel'!E$10)))</f>
        <v>0.86079750874593719</v>
      </c>
      <c r="F19" s="90">
        <f>IF(ISBLANK('Dist. de l''état nutritionnel'!F$10),(1/1.16),((1/1.16)*'Dist. de l''état nutritionnel'!F$10/(1-(1/1.16)*'Dist. de l''état nutritionnel'!F$10))
/ ('Dist. de l''état nutritionnel'!F$10/(1-'Dist. de l''état nutritionnel'!F$10)))</f>
        <v>0.86060199976302998</v>
      </c>
      <c r="G19" s="90">
        <f>IF(ISBLANK('Dist. de l''état nutritionnel'!G$10),(1/1.16),((1/1.16)*'Dist. de l''état nutritionnel'!G$10/(1-(1/1.16)*'Dist. de l''état nutritionnel'!G$10))
/ ('Dist. de l''état nutritionnel'!G$10/(1-'Dist. de l''état nutritionnel'!G$10)))</f>
        <v>0.85973770200080746</v>
      </c>
    </row>
  </sheetData>
  <sheetProtection algorithmName="SHA-512" hashValue="PzUxniCo+eF8ogA5aJ9q/4706b/lRPSnPKOrCfBcfi0Otx2ncBgyOGyT9lBV/MCuu1aKcY9mg1enUS258MhLCQ==" saltValue="ZDJ6TtBwcpE2w9G+PWSuS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ht="13.25" customHeight="1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335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336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336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336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336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336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335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336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88</v>
      </c>
      <c r="C45" s="5" t="s">
        <v>334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191</v>
      </c>
      <c r="B48" s="5" t="s">
        <v>87</v>
      </c>
      <c r="C48" s="5" t="s">
        <v>334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335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184</v>
      </c>
      <c r="B52" s="5" t="s">
        <v>82</v>
      </c>
      <c r="C52" s="5" t="s">
        <v>334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335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ht="13.25" customHeight="1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335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336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192</v>
      </c>
      <c r="B60" s="5" t="s">
        <v>208</v>
      </c>
      <c r="C60" s="5" t="s">
        <v>334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336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209</v>
      </c>
      <c r="C62" s="5" t="s">
        <v>334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336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185</v>
      </c>
      <c r="B64" s="5" t="s">
        <v>208</v>
      </c>
      <c r="C64" s="5" t="s">
        <v>334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336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209</v>
      </c>
      <c r="C66" s="5" t="s">
        <v>334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336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205</v>
      </c>
      <c r="B68" s="5" t="s">
        <v>208</v>
      </c>
      <c r="C68" s="5" t="s">
        <v>334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336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335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335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335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335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336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335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336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335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336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335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336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335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336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335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336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88</v>
      </c>
      <c r="C100" s="5" t="s">
        <v>334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335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336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335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335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335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335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336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336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209</v>
      </c>
      <c r="C117" s="5" t="s">
        <v>334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336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336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209</v>
      </c>
      <c r="C121" s="5" t="s">
        <v>334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336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336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336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336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209</v>
      </c>
      <c r="C129" s="5" t="s">
        <v>334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336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335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335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335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335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336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335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336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335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336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335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336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335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336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335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336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88</v>
      </c>
      <c r="C155" s="5" t="s">
        <v>334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335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336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335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335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335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txBSqROGN0twsokmuuMmwYtshrQEeCWIn0gqFKINqadGlar/UEIh8ZJiD0HO+0K9jDR9l7lTwqNy7035K02cDg==" saltValue="32F0rsPJwBoiBSIXj3sPf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ht="13.25" customHeight="1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335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335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ht="13.25" customHeight="1" x14ac:dyDescent="0.25">
      <c r="A11" s="3" t="s">
        <v>169</v>
      </c>
      <c r="B11" s="8" t="s">
        <v>104</v>
      </c>
      <c r="C11" s="3" t="s">
        <v>334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335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188</v>
      </c>
      <c r="B13" s="8" t="s">
        <v>104</v>
      </c>
      <c r="C13" s="3" t="s">
        <v>334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335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ht="13.25" customHeight="1" x14ac:dyDescent="0.25">
      <c r="A20" s="3" t="s">
        <v>169</v>
      </c>
      <c r="B20" s="8" t="s">
        <v>104</v>
      </c>
      <c r="C20" s="3" t="s">
        <v>334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335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188</v>
      </c>
      <c r="B22" s="8" t="s">
        <v>104</v>
      </c>
      <c r="C22" s="3" t="s">
        <v>334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335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187</v>
      </c>
      <c r="B24" s="8" t="s">
        <v>104</v>
      </c>
      <c r="C24" s="3" t="s">
        <v>334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335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6YBzMy+Vmm03CU4hNO/7ZBvIG1f+XPp5Isj8jM1gZS6ACrBgmBSF2cpuAd7gRF9LEsPFMQxTfc44ruf9kZv7Ew==" saltValue="kz5PKvYoT1zCDfXZR8JaVg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0</v>
      </c>
    </row>
    <row r="4" spans="1:8" ht="15.75" customHeight="1" x14ac:dyDescent="0.25">
      <c r="B4" s="19" t="s">
        <v>79</v>
      </c>
      <c r="C4" s="101">
        <v>9.3919396814947223E-2</v>
      </c>
    </row>
    <row r="5" spans="1:8" ht="15.75" customHeight="1" x14ac:dyDescent="0.25">
      <c r="B5" s="19" t="s">
        <v>80</v>
      </c>
      <c r="C5" s="101">
        <v>3.6280150732841909E-2</v>
      </c>
    </row>
    <row r="6" spans="1:8" ht="15.75" customHeight="1" x14ac:dyDescent="0.25">
      <c r="B6" s="19" t="s">
        <v>81</v>
      </c>
      <c r="C6" s="101">
        <v>0.11770533440942441</v>
      </c>
    </row>
    <row r="7" spans="1:8" ht="15.75" customHeight="1" x14ac:dyDescent="0.25">
      <c r="B7" s="19" t="s">
        <v>82</v>
      </c>
      <c r="C7" s="101">
        <v>0.40041615629285371</v>
      </c>
    </row>
    <row r="8" spans="1:8" ht="15.75" customHeight="1" x14ac:dyDescent="0.25">
      <c r="B8" s="19" t="s">
        <v>83</v>
      </c>
      <c r="C8" s="101">
        <v>4.8353703706277276E-3</v>
      </c>
    </row>
    <row r="9" spans="1:8" ht="15.75" customHeight="1" x14ac:dyDescent="0.25">
      <c r="B9" s="19" t="s">
        <v>84</v>
      </c>
      <c r="C9" s="101">
        <v>0.2379124981177804</v>
      </c>
    </row>
    <row r="10" spans="1:8" ht="15.75" customHeight="1" x14ac:dyDescent="0.25">
      <c r="B10" s="19" t="s">
        <v>85</v>
      </c>
      <c r="C10" s="101">
        <v>0.1089310932615245</v>
      </c>
    </row>
    <row r="11" spans="1:8" ht="15.75" customHeight="1" x14ac:dyDescent="0.25">
      <c r="B11" s="27" t="s">
        <v>41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7.3110808787829995E-2</v>
      </c>
      <c r="D14" s="55">
        <v>7.3110808787829995E-2</v>
      </c>
      <c r="E14" s="55">
        <v>7.3110808787829995E-2</v>
      </c>
      <c r="F14" s="55">
        <v>7.3110808787829995E-2</v>
      </c>
    </row>
    <row r="15" spans="1:8" ht="15.75" customHeight="1" x14ac:dyDescent="0.25">
      <c r="B15" s="19" t="s">
        <v>88</v>
      </c>
      <c r="C15" s="101">
        <v>0.17712405874107101</v>
      </c>
      <c r="D15" s="101">
        <v>0.17712405874107101</v>
      </c>
      <c r="E15" s="101">
        <v>0.17712405874107101</v>
      </c>
      <c r="F15" s="101">
        <v>0.17712405874107101</v>
      </c>
    </row>
    <row r="16" spans="1:8" ht="15.75" customHeight="1" x14ac:dyDescent="0.25">
      <c r="B16" s="19" t="s">
        <v>89</v>
      </c>
      <c r="C16" s="101">
        <v>2.782595020164725E-2</v>
      </c>
      <c r="D16" s="101">
        <v>2.782595020164725E-2</v>
      </c>
      <c r="E16" s="101">
        <v>2.782595020164725E-2</v>
      </c>
      <c r="F16" s="101">
        <v>2.782595020164725E-2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92</v>
      </c>
      <c r="C19" s="101">
        <v>2.1084045166325161E-2</v>
      </c>
      <c r="D19" s="101">
        <v>2.1084045166325161E-2</v>
      </c>
      <c r="E19" s="101">
        <v>2.1084045166325161E-2</v>
      </c>
      <c r="F19" s="101">
        <v>2.1084045166325161E-2</v>
      </c>
    </row>
    <row r="20" spans="1:8" ht="15.75" customHeight="1" x14ac:dyDescent="0.25">
      <c r="B20" s="19" t="s">
        <v>93</v>
      </c>
      <c r="C20" s="101">
        <v>1.8811993788943411E-3</v>
      </c>
      <c r="D20" s="101">
        <v>1.8811993788943411E-3</v>
      </c>
      <c r="E20" s="101">
        <v>1.8811993788943411E-3</v>
      </c>
      <c r="F20" s="101">
        <v>1.8811993788943411E-3</v>
      </c>
    </row>
    <row r="21" spans="1:8" ht="15.75" customHeight="1" x14ac:dyDescent="0.25">
      <c r="B21" s="19" t="s">
        <v>94</v>
      </c>
      <c r="C21" s="101">
        <v>0.198924525198548</v>
      </c>
      <c r="D21" s="101">
        <v>0.198924525198548</v>
      </c>
      <c r="E21" s="101">
        <v>0.198924525198548</v>
      </c>
      <c r="F21" s="101">
        <v>0.198924525198548</v>
      </c>
    </row>
    <row r="22" spans="1:8" ht="15.75" customHeight="1" x14ac:dyDescent="0.25">
      <c r="B22" s="19" t="s">
        <v>95</v>
      </c>
      <c r="C22" s="101">
        <v>0.50004941252568447</v>
      </c>
      <c r="D22" s="101">
        <v>0.50004941252568447</v>
      </c>
      <c r="E22" s="101">
        <v>0.50004941252568447</v>
      </c>
      <c r="F22" s="101">
        <v>0.50004941252568447</v>
      </c>
    </row>
    <row r="23" spans="1:8" ht="15.75" customHeight="1" x14ac:dyDescent="0.25">
      <c r="B23" s="27" t="s">
        <v>41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0.109226406</v>
      </c>
    </row>
    <row r="27" spans="1:8" ht="15.75" customHeight="1" x14ac:dyDescent="0.25">
      <c r="B27" s="19" t="s">
        <v>102</v>
      </c>
      <c r="C27" s="101">
        <v>1.7615203999999999E-2</v>
      </c>
    </row>
    <row r="28" spans="1:8" ht="15.75" customHeight="1" x14ac:dyDescent="0.25">
      <c r="B28" s="19" t="s">
        <v>103</v>
      </c>
      <c r="C28" s="101">
        <v>3.5403469E-2</v>
      </c>
    </row>
    <row r="29" spans="1:8" ht="15.75" customHeight="1" x14ac:dyDescent="0.25">
      <c r="B29" s="19" t="s">
        <v>104</v>
      </c>
      <c r="C29" s="101">
        <v>8.1855017000000002E-2</v>
      </c>
    </row>
    <row r="30" spans="1:8" ht="15.75" customHeight="1" x14ac:dyDescent="0.25">
      <c r="B30" s="19" t="s">
        <v>2</v>
      </c>
      <c r="C30" s="101">
        <v>6.7261675000000007E-2</v>
      </c>
    </row>
    <row r="31" spans="1:8" ht="15.75" customHeight="1" x14ac:dyDescent="0.25">
      <c r="B31" s="19" t="s">
        <v>105</v>
      </c>
      <c r="C31" s="101">
        <v>2.8928879000000001E-2</v>
      </c>
    </row>
    <row r="32" spans="1:8" ht="15.75" customHeight="1" x14ac:dyDescent="0.25">
      <c r="B32" s="19" t="s">
        <v>106</v>
      </c>
      <c r="C32" s="101">
        <v>0.23338838200000001</v>
      </c>
    </row>
    <row r="33" spans="2:3" ht="15.75" customHeight="1" x14ac:dyDescent="0.25">
      <c r="B33" s="19" t="s">
        <v>107</v>
      </c>
      <c r="C33" s="101">
        <v>0.13208631300000001</v>
      </c>
    </row>
    <row r="34" spans="2:3" ht="15.75" customHeight="1" x14ac:dyDescent="0.25">
      <c r="B34" s="19" t="s">
        <v>108</v>
      </c>
      <c r="C34" s="101">
        <v>0.29423465599999998</v>
      </c>
    </row>
    <row r="35" spans="2:3" ht="15.75" customHeight="1" x14ac:dyDescent="0.25">
      <c r="B35" s="27" t="s">
        <v>41</v>
      </c>
      <c r="C35" s="48">
        <f>SUM(C26:C34)</f>
        <v>1.0000000010000001</v>
      </c>
    </row>
  </sheetData>
  <sheetProtection algorithmName="SHA-512" hashValue="NPXi1AIp1LCnapJPnC9N55EMNB+W3ezn/YrJcJ6ydxHHS8ORKh6I5O2Jl+b62MOFi2+2qtP5Ctm/1/bBKhWSNQ==" saltValue="pFuQ0NtrNyJgNb5WvBVnU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0.63376882748716545</v>
      </c>
      <c r="D2" s="52">
        <f>IFERROR(1-_xlfn.NORM.DIST(_xlfn.NORM.INV(SUM(D4:D5), 0, 1) + 1, 0, 1, TRUE), "")</f>
        <v>0.63376882748716545</v>
      </c>
      <c r="E2" s="52">
        <f>IFERROR(1-_xlfn.NORM.DIST(_xlfn.NORM.INV(SUM(E4:E5), 0, 1) + 1, 0, 1, TRUE), "")</f>
        <v>0.66632413446972893</v>
      </c>
      <c r="F2" s="52">
        <f>IFERROR(1-_xlfn.NORM.DIST(_xlfn.NORM.INV(SUM(F4:F5), 0, 1) + 1, 0, 1, TRUE), "")</f>
        <v>0.59653395887931282</v>
      </c>
      <c r="G2" s="52">
        <f>IFERROR(1-_xlfn.NORM.DIST(_xlfn.NORM.INV(SUM(G4:G5), 0, 1) + 1, 0, 1, TRUE), "")</f>
        <v>0.69260694461751826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0.27640916330701643</v>
      </c>
      <c r="D3" s="52">
        <f>IFERROR(_xlfn.NORM.DIST(_xlfn.NORM.INV(SUM(D4:D5), 0, 1) + 1, 0, 1, TRUE) - SUM(D4:D5), "")</f>
        <v>0.27640916330701643</v>
      </c>
      <c r="E3" s="52">
        <f>IFERROR(_xlfn.NORM.DIST(_xlfn.NORM.INV(SUM(E4:E5), 0, 1) + 1, 0, 1, TRUE) - SUM(E4:E5), "")</f>
        <v>0.25728655977104964</v>
      </c>
      <c r="F3" s="52">
        <f>IFERROR(_xlfn.NORM.DIST(_xlfn.NORM.INV(SUM(F4:F5), 0, 1) + 1, 0, 1, TRUE) - SUM(F4:F5), "")</f>
        <v>0.29678722742477959</v>
      </c>
      <c r="G3" s="52">
        <f>IFERROR(_xlfn.NORM.DIST(_xlfn.NORM.INV(SUM(G4:G5), 0, 1) + 1, 0, 1, TRUE) - SUM(G4:G5), "")</f>
        <v>0.24100620203774326</v>
      </c>
    </row>
    <row r="4" spans="1:15" ht="15.75" customHeight="1" x14ac:dyDescent="0.25">
      <c r="B4" s="5" t="s">
        <v>114</v>
      </c>
      <c r="C4" s="45">
        <v>7.1541570127010304E-2</v>
      </c>
      <c r="D4" s="53">
        <v>7.1541570127010304E-2</v>
      </c>
      <c r="E4" s="53">
        <v>7.2694912552833599E-2</v>
      </c>
      <c r="F4" s="53">
        <v>8.1473901867866502E-2</v>
      </c>
      <c r="G4" s="53">
        <v>5.2827265113592113E-2</v>
      </c>
    </row>
    <row r="5" spans="1:15" ht="15.75" customHeight="1" x14ac:dyDescent="0.25">
      <c r="B5" s="5" t="s">
        <v>115</v>
      </c>
      <c r="C5" s="45">
        <v>1.82804390788078E-2</v>
      </c>
      <c r="D5" s="53">
        <v>1.82804390788078E-2</v>
      </c>
      <c r="E5" s="53">
        <v>3.6943932063877999E-3</v>
      </c>
      <c r="F5" s="53">
        <v>2.5204911828041101E-2</v>
      </c>
      <c r="G5" s="53">
        <v>1.3559588231146299E-2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0.73769691006147964</v>
      </c>
      <c r="D8" s="52">
        <f>IFERROR(1-_xlfn.NORM.DIST(_xlfn.NORM.INV(SUM(D10:D11), 0, 1) + 1, 0, 1, TRUE), "")</f>
        <v>0.73769691006147964</v>
      </c>
      <c r="E8" s="52">
        <f>IFERROR(1-_xlfn.NORM.DIST(_xlfn.NORM.INV(SUM(E10:E11), 0, 1) + 1, 0, 1, TRUE), "")</f>
        <v>0.85235162032442657</v>
      </c>
      <c r="F8" s="52">
        <f>IFERROR(1-_xlfn.NORM.DIST(_xlfn.NORM.INV(SUM(F10:F11), 0, 1) + 1, 0, 1, TRUE), "")</f>
        <v>0.86275919745338903</v>
      </c>
      <c r="G8" s="52">
        <f>IFERROR(1-_xlfn.NORM.DIST(_xlfn.NORM.INV(SUM(G10:G11), 0, 1) + 1, 0, 1, TRUE), "")</f>
        <v>0.83915208614936976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0.21141062512195014</v>
      </c>
      <c r="D9" s="52">
        <f>IFERROR(_xlfn.NORM.DIST(_xlfn.NORM.INV(SUM(D10:D11), 0, 1) + 1, 0, 1, TRUE) - SUM(D10:D11), "")</f>
        <v>0.21141062512195014</v>
      </c>
      <c r="E9" s="52">
        <f>IFERROR(_xlfn.NORM.DIST(_xlfn.NORM.INV(SUM(E10:E11), 0, 1) + 1, 0, 1, TRUE) - SUM(E10:E11), "")</f>
        <v>0.12729834439558413</v>
      </c>
      <c r="F9" s="52">
        <f>IFERROR(_xlfn.NORM.DIST(_xlfn.NORM.INV(SUM(F10:F11), 0, 1) + 1, 0, 1, TRUE) - SUM(F10:F11), "")</f>
        <v>0.11905729831533682</v>
      </c>
      <c r="G9" s="52">
        <f>IFERROR(_xlfn.NORM.DIST(_xlfn.NORM.INV(SUM(G10:G11), 0, 1) + 1, 0, 1, TRUE) - SUM(G10:G11), "")</f>
        <v>0.13760631662287809</v>
      </c>
    </row>
    <row r="10" spans="1:15" ht="15.75" customHeight="1" x14ac:dyDescent="0.25">
      <c r="B10" s="5" t="s">
        <v>119</v>
      </c>
      <c r="C10" s="45">
        <v>2.6980314403772399E-2</v>
      </c>
      <c r="D10" s="53">
        <v>2.6980314403772399E-2</v>
      </c>
      <c r="E10" s="53">
        <v>1.0595283471047901E-2</v>
      </c>
      <c r="F10" s="53">
        <v>1.22073506936431E-2</v>
      </c>
      <c r="G10" s="53">
        <v>1.92800611257553E-2</v>
      </c>
    </row>
    <row r="11" spans="1:15" ht="15.75" customHeight="1" x14ac:dyDescent="0.25">
      <c r="B11" s="5" t="s">
        <v>120</v>
      </c>
      <c r="C11" s="45">
        <v>2.39121504127979E-2</v>
      </c>
      <c r="D11" s="53">
        <v>2.39121504127979E-2</v>
      </c>
      <c r="E11" s="53">
        <v>9.754751808941399E-3</v>
      </c>
      <c r="F11" s="53">
        <v>5.9761535376310002E-3</v>
      </c>
      <c r="G11" s="53">
        <v>3.9615361019969004E-3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0.58996669749999997</v>
      </c>
      <c r="D14" s="54">
        <v>0.58808578352899998</v>
      </c>
      <c r="E14" s="54">
        <v>0.58808578352899998</v>
      </c>
      <c r="F14" s="54">
        <v>0.294560960915</v>
      </c>
      <c r="G14" s="54">
        <v>0.294560960915</v>
      </c>
      <c r="H14" s="45">
        <v>0.371</v>
      </c>
      <c r="I14" s="55">
        <v>0.371</v>
      </c>
      <c r="J14" s="55">
        <v>0.371</v>
      </c>
      <c r="K14" s="55">
        <v>0.371</v>
      </c>
      <c r="L14" s="45">
        <v>0.34499999999999997</v>
      </c>
      <c r="M14" s="55">
        <v>0.34499999999999997</v>
      </c>
      <c r="N14" s="55">
        <v>0.34499999999999997</v>
      </c>
      <c r="O14" s="55">
        <v>0.34499999999999997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0.35596702633717997</v>
      </c>
      <c r="D15" s="52">
        <f t="shared" si="0"/>
        <v>0.35483214303632565</v>
      </c>
      <c r="E15" s="52">
        <f t="shared" si="0"/>
        <v>0.35483214303632565</v>
      </c>
      <c r="F15" s="52">
        <f t="shared" si="0"/>
        <v>0.17772865786536174</v>
      </c>
      <c r="G15" s="52">
        <f t="shared" si="0"/>
        <v>0.17772865786536174</v>
      </c>
      <c r="H15" s="52">
        <f t="shared" si="0"/>
        <v>0.22384952799999999</v>
      </c>
      <c r="I15" s="52">
        <f t="shared" si="0"/>
        <v>0.22384952799999999</v>
      </c>
      <c r="J15" s="52">
        <f t="shared" si="0"/>
        <v>0.22384952799999999</v>
      </c>
      <c r="K15" s="52">
        <f t="shared" si="0"/>
        <v>0.22384952799999999</v>
      </c>
      <c r="L15" s="52">
        <f t="shared" si="0"/>
        <v>0.20816195999999998</v>
      </c>
      <c r="M15" s="52">
        <f t="shared" si="0"/>
        <v>0.20816195999999998</v>
      </c>
      <c r="N15" s="52">
        <f t="shared" si="0"/>
        <v>0.20816195999999998</v>
      </c>
      <c r="O15" s="52">
        <f t="shared" si="0"/>
        <v>0.20816195999999998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inibqgdALf7pCcz78qiIBrXtOVn9VP5ZzAbrvGtdwvoSItWJ5qhh4Hs/KfnQhTEmAJtT/DhNYev1LkdUBuglFQ==" saltValue="FxCMTmyztPNRmLLMIUaiE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0.42756035923957803</v>
      </c>
      <c r="D2" s="53">
        <v>0.2062329</v>
      </c>
      <c r="E2" s="53"/>
      <c r="F2" s="53"/>
      <c r="G2" s="53"/>
    </row>
    <row r="3" spans="1:7" x14ac:dyDescent="0.25">
      <c r="B3" s="3" t="s">
        <v>130</v>
      </c>
      <c r="C3" s="53">
        <v>0.10077443718910201</v>
      </c>
      <c r="D3" s="53">
        <v>0.1128769</v>
      </c>
      <c r="E3" s="53"/>
      <c r="F3" s="53"/>
      <c r="G3" s="53"/>
    </row>
    <row r="4" spans="1:7" x14ac:dyDescent="0.25">
      <c r="B4" s="3" t="s">
        <v>131</v>
      </c>
      <c r="C4" s="53">
        <v>0.369465261697769</v>
      </c>
      <c r="D4" s="53">
        <v>0.46366649999999998</v>
      </c>
      <c r="E4" s="53">
        <v>0.54610043764114402</v>
      </c>
      <c r="F4" s="53">
        <v>0.26147621870040899</v>
      </c>
      <c r="G4" s="53"/>
    </row>
    <row r="5" spans="1:7" x14ac:dyDescent="0.25">
      <c r="B5" s="3" t="s">
        <v>132</v>
      </c>
      <c r="C5" s="52">
        <v>0.10219993442297</v>
      </c>
      <c r="D5" s="52">
        <v>0.21722365915775299</v>
      </c>
      <c r="E5" s="52">
        <f>1-SUM(E2:E4)</f>
        <v>0.45389956235885598</v>
      </c>
      <c r="F5" s="52">
        <f>1-SUM(F2:F4)</f>
        <v>0.73852378129959106</v>
      </c>
      <c r="G5" s="52">
        <f>1-SUM(G2:G4)</f>
        <v>1</v>
      </c>
    </row>
  </sheetData>
  <sheetProtection algorithmName="SHA-512" hashValue="338BGMq5CO4R27Aa7wWcWRCRQxHOb8bBS/3NNK6P+100+qlB2cBO7+YNL0zONFVZ4EjprflQg2jRJjpU54nZhQ==" saltValue="WGkPBiT1w9VOrI/+Yr5ks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KcSp5UvOLcFvfHZAKceQCPMAc27hMIraQErlXkI9S4EG5l/rOdUHAdN1G266mdHM/f8RYMrGYkEQyt+VSoiEng==" saltValue="/NGbwthXoGLEHc1PIQt1g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ht="13.25" customHeight="1" x14ac:dyDescent="0.25">
      <c r="A2" s="8" t="s">
        <v>145</v>
      </c>
      <c r="B2" s="41">
        <v>10</v>
      </c>
    </row>
    <row r="3" spans="1:2" ht="13.25" customHeight="1" x14ac:dyDescent="0.25">
      <c r="A3" s="8" t="s">
        <v>150</v>
      </c>
      <c r="B3" s="41">
        <v>10</v>
      </c>
    </row>
    <row r="4" spans="1:2" ht="13.25" customHeight="1" x14ac:dyDescent="0.25">
      <c r="A4" s="8" t="s">
        <v>146</v>
      </c>
      <c r="B4" s="41">
        <v>10</v>
      </c>
    </row>
    <row r="5" spans="1:2" ht="13.25" customHeight="1" x14ac:dyDescent="0.25">
      <c r="A5" s="8" t="s">
        <v>147</v>
      </c>
      <c r="B5" s="41">
        <v>10</v>
      </c>
    </row>
    <row r="6" spans="1:2" ht="13.25" customHeight="1" x14ac:dyDescent="0.25">
      <c r="A6" s="8" t="s">
        <v>148</v>
      </c>
      <c r="B6" s="41">
        <v>10</v>
      </c>
    </row>
    <row r="7" spans="1:2" ht="13.25" customHeight="1" x14ac:dyDescent="0.25">
      <c r="A7" s="8" t="s">
        <v>149</v>
      </c>
      <c r="B7" s="41">
        <v>10</v>
      </c>
    </row>
  </sheetData>
  <sheetProtection algorithmName="SHA-512" hashValue="NNwFzJ2igDtovY2l1s7EbSTLzmGXuQsFI/Zyo37PEcUkQADa79PPbKGqYDAxWA2xJZl7CDGAdB9wAtAFaFRL8g==" saltValue="KtMbnmxOK2wgDMq+xZn6L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97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98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109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96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156</v>
      </c>
      <c r="C21" s="31"/>
      <c r="D21" s="30"/>
      <c r="E21" s="47"/>
    </row>
  </sheetData>
  <sheetProtection algorithmName="SHA-512" hashValue="Rcjo1zNcbI2Qxp9mzHfZjKUlvRQqxcSFpy1hdTKL+A+545vY2ppPKM8MXCY9PJG+6u8Hl84QJkSP5rJNg3gBUQ==" saltValue="pp8tbbxy2iJg3fw8hbr9c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8j4jXyZOYlUi2te+avY5VU5ZjHAIdckZouRd+yq4eFayoz7YuwfpJdfDdJSvzynJGImcpPzhOEMbJ1GHOLeIVA==" saltValue="F7irnYpmZFcKWT6c/huw9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2024-03-18T01:39:46Z</dcterms:modified>
</cp:coreProperties>
</file>