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fr\LiST countries\"/>
    </mc:Choice>
  </mc:AlternateContent>
  <xr:revisionPtr revIDLastSave="0" documentId="8_{A9C6C784-2D4D-4200-8FBD-F03E4809356C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D152" i="27"/>
  <c r="H136" i="27"/>
  <c r="G136" i="27"/>
  <c r="F136" i="27"/>
  <c r="E136" i="27"/>
  <c r="H135" i="27"/>
  <c r="G135" i="27"/>
  <c r="F135" i="27"/>
  <c r="E135" i="27"/>
  <c r="D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E130" i="27"/>
  <c r="D130" i="27"/>
  <c r="H129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E112" i="27"/>
  <c r="D112" i="27"/>
  <c r="H97" i="27"/>
  <c r="H152" i="27" s="1"/>
  <c r="G97" i="27"/>
  <c r="G152" i="27" s="1"/>
  <c r="F97" i="27"/>
  <c r="F152" i="27" s="1"/>
  <c r="E97" i="27"/>
  <c r="E152" i="27" s="1"/>
  <c r="D97" i="27"/>
  <c r="H81" i="27"/>
  <c r="G81" i="27"/>
  <c r="F81" i="27"/>
  <c r="E81" i="27"/>
  <c r="H80" i="27"/>
  <c r="G80" i="27"/>
  <c r="F80" i="27"/>
  <c r="E80" i="27"/>
  <c r="D80" i="27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D131" i="27" s="1"/>
  <c r="E75" i="27"/>
  <c r="D75" i="27"/>
  <c r="H74" i="27"/>
  <c r="G74" i="27"/>
  <c r="G129" i="27" s="1"/>
  <c r="F74" i="27"/>
  <c r="F129" i="27" s="1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H112" i="27" s="1"/>
  <c r="G57" i="27"/>
  <c r="G112" i="27" s="1"/>
  <c r="F57" i="27"/>
  <c r="F112" i="27" s="1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I40" i="2" s="1"/>
  <c r="G40" i="2"/>
  <c r="H39" i="2"/>
  <c r="G39" i="2"/>
  <c r="I39" i="2" s="1"/>
  <c r="H38" i="2"/>
  <c r="I38" i="2" s="1"/>
  <c r="G38" i="2"/>
  <c r="H11" i="2"/>
  <c r="I11" i="2" s="1"/>
  <c r="G11" i="2"/>
  <c r="H10" i="2"/>
  <c r="G10" i="2"/>
  <c r="I10" i="2" s="1"/>
  <c r="H9" i="2"/>
  <c r="I9" i="2" s="1"/>
  <c r="G9" i="2"/>
  <c r="H8" i="2"/>
  <c r="G8" i="2"/>
  <c r="I8" i="2" s="1"/>
  <c r="I7" i="2"/>
  <c r="H7" i="2"/>
  <c r="G7" i="2"/>
  <c r="H6" i="2"/>
  <c r="G6" i="2"/>
  <c r="I6" i="2" s="1"/>
  <c r="H5" i="2"/>
  <c r="I5" i="2" s="1"/>
  <c r="G5" i="2"/>
  <c r="H4" i="2"/>
  <c r="G4" i="2"/>
  <c r="I3" i="2"/>
  <c r="H3" i="2"/>
  <c r="G3" i="2"/>
  <c r="H2" i="2"/>
  <c r="G2" i="2"/>
  <c r="I2" i="2" s="1"/>
  <c r="A2" i="2"/>
  <c r="A31" i="2" s="1"/>
  <c r="C33" i="1"/>
  <c r="C20" i="1"/>
  <c r="A22" i="2" l="1"/>
  <c r="A3" i="2"/>
  <c r="A13" i="2"/>
  <c r="A14" i="2"/>
  <c r="A25" i="2"/>
  <c r="A35" i="2"/>
  <c r="A40" i="2"/>
  <c r="A32" i="2"/>
  <c r="A24" i="2"/>
  <c r="A34" i="2"/>
  <c r="A16" i="2"/>
  <c r="A26" i="2"/>
  <c r="A37" i="2"/>
  <c r="A19" i="2"/>
  <c r="A30" i="2"/>
  <c r="A21" i="2"/>
  <c r="A33" i="2"/>
  <c r="A39" i="2"/>
  <c r="A17" i="2"/>
  <c r="A27" i="2"/>
  <c r="A38" i="2"/>
  <c r="I4" i="2"/>
  <c r="A18" i="2"/>
  <c r="A29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<sst xmlns="http://schemas.openxmlformats.org/spreadsheetml/2006/main" count="2092" uniqueCount="337">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</sst>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25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13</v>
      </c>
      <c r="B1" s="29" t="s">
        <v>0</v>
      </c>
      <c r="C1" s="29" t="s">
        <v>66</v>
      </c>
    </row>
    <row r="2" spans="1:3" ht="15.9" customHeight="1" x14ac:dyDescent="0.3">
      <c r="A2" s="8" t="s">
        <v>14</v>
      </c>
      <c r="B2" s="29"/>
      <c r="C2" s="29"/>
    </row>
    <row r="3" spans="1:3" ht="15.9" customHeight="1" x14ac:dyDescent="0.3">
      <c r="A3" s="1"/>
      <c r="B3" s="5" t="s">
        <v>15</v>
      </c>
      <c r="C3" s="41">
        <v>2021</v>
      </c>
    </row>
    <row r="4" spans="1:3" ht="15.9" customHeight="1" x14ac:dyDescent="0.3">
      <c r="A4" s="1"/>
      <c r="B4" s="5" t="s">
        <v>16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17</v>
      </c>
    </row>
    <row r="7" spans="1:3" ht="15" customHeight="1" x14ac:dyDescent="0.25">
      <c r="B7" s="11" t="s">
        <v>18</v>
      </c>
      <c r="C7" s="43">
        <v>65857.82958984375</v>
      </c>
    </row>
    <row r="8" spans="1:3" ht="15" customHeight="1" x14ac:dyDescent="0.25">
      <c r="B8" s="5" t="s">
        <v>19</v>
      </c>
      <c r="C8" s="44">
        <v>2E-3</v>
      </c>
    </row>
    <row r="9" spans="1:3" ht="15" customHeight="1" x14ac:dyDescent="0.25">
      <c r="B9" s="5" t="s">
        <v>20</v>
      </c>
      <c r="C9" s="45">
        <v>0.01</v>
      </c>
    </row>
    <row r="10" spans="1:3" ht="15" customHeight="1" x14ac:dyDescent="0.25">
      <c r="B10" s="5" t="s">
        <v>21</v>
      </c>
      <c r="C10" s="45">
        <v>0.777842483520508</v>
      </c>
    </row>
    <row r="11" spans="1:3" ht="15" customHeight="1" x14ac:dyDescent="0.25">
      <c r="B11" s="5" t="s">
        <v>22</v>
      </c>
      <c r="C11" s="45">
        <v>0.95400000000000007</v>
      </c>
    </row>
    <row r="12" spans="1:3" ht="15" customHeight="1" x14ac:dyDescent="0.25">
      <c r="B12" s="5" t="s">
        <v>23</v>
      </c>
      <c r="C12" s="45">
        <v>0.79200000000000004</v>
      </c>
    </row>
    <row r="13" spans="1:3" ht="15" customHeight="1" x14ac:dyDescent="0.25">
      <c r="B13" s="5" t="s">
        <v>24</v>
      </c>
      <c r="C13" s="45">
        <v>0.39600000000000002</v>
      </c>
    </row>
    <row r="14" spans="1:3" ht="15" customHeight="1" x14ac:dyDescent="0.25">
      <c r="B14" s="8"/>
    </row>
    <row r="15" spans="1:3" ht="15" customHeight="1" x14ac:dyDescent="0.3">
      <c r="A15" s="8" t="s">
        <v>25</v>
      </c>
      <c r="B15" s="14"/>
      <c r="C15" s="3"/>
    </row>
    <row r="16" spans="1:3" ht="15" customHeight="1" x14ac:dyDescent="0.25">
      <c r="B16" s="5" t="s">
        <v>26</v>
      </c>
      <c r="C16" s="45">
        <v>0.1</v>
      </c>
    </row>
    <row r="17" spans="1:3" ht="15" customHeight="1" x14ac:dyDescent="0.25">
      <c r="B17" s="5" t="s">
        <v>27</v>
      </c>
      <c r="C17" s="45">
        <v>0.7</v>
      </c>
    </row>
    <row r="18" spans="1:3" ht="15" customHeight="1" x14ac:dyDescent="0.25">
      <c r="B18" s="5" t="s">
        <v>28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30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31</v>
      </c>
    </row>
    <row r="23" spans="1:3" ht="15" customHeight="1" x14ac:dyDescent="0.25">
      <c r="B23" s="15" t="s">
        <v>32</v>
      </c>
      <c r="C23" s="45">
        <v>9.9900000000000003E-2</v>
      </c>
    </row>
    <row r="24" spans="1:3" ht="15" customHeight="1" x14ac:dyDescent="0.25">
      <c r="B24" s="15" t="s">
        <v>33</v>
      </c>
      <c r="C24" s="45">
        <v>0.6048</v>
      </c>
    </row>
    <row r="25" spans="1:3" ht="15" customHeight="1" x14ac:dyDescent="0.25">
      <c r="B25" s="15" t="s">
        <v>34</v>
      </c>
      <c r="C25" s="45">
        <v>0.27869999999999989</v>
      </c>
    </row>
    <row r="26" spans="1:3" ht="15" customHeight="1" x14ac:dyDescent="0.25">
      <c r="B26" s="15" t="s">
        <v>35</v>
      </c>
      <c r="C26" s="45">
        <v>1.66E-2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36</v>
      </c>
      <c r="B28" s="15"/>
      <c r="C28" s="15"/>
    </row>
    <row r="29" spans="1:3" ht="14.25" customHeight="1" x14ac:dyDescent="0.25">
      <c r="B29" s="25" t="s">
        <v>37</v>
      </c>
      <c r="C29" s="45">
        <v>0.35675533525383901</v>
      </c>
    </row>
    <row r="30" spans="1:3" ht="14.25" customHeight="1" x14ac:dyDescent="0.25">
      <c r="B30" s="25" t="s">
        <v>38</v>
      </c>
      <c r="C30" s="99">
        <v>6.5910586704521698E-2</v>
      </c>
    </row>
    <row r="31" spans="1:3" ht="14.25" customHeight="1" x14ac:dyDescent="0.25">
      <c r="B31" s="25" t="s">
        <v>39</v>
      </c>
      <c r="C31" s="99">
        <v>9.262041217609189E-2</v>
      </c>
    </row>
    <row r="32" spans="1:3" ht="14.25" customHeight="1" x14ac:dyDescent="0.25">
      <c r="B32" s="25" t="s">
        <v>40</v>
      </c>
      <c r="C32" s="99">
        <v>0.48471366586554798</v>
      </c>
    </row>
    <row r="33" spans="1:5" ht="13" customHeight="1" x14ac:dyDescent="0.25">
      <c r="B33" s="27" t="s">
        <v>41</v>
      </c>
      <c r="C33" s="48">
        <f>SUM(C29:C32)</f>
        <v>1.0000000000000004</v>
      </c>
    </row>
    <row r="34" spans="1:5" ht="15" customHeight="1" x14ac:dyDescent="0.25"/>
    <row r="35" spans="1:5" ht="15" customHeight="1" x14ac:dyDescent="0.3">
      <c r="A35" s="4" t="s">
        <v>42</v>
      </c>
    </row>
    <row r="36" spans="1:5" ht="15" customHeight="1" x14ac:dyDescent="0.25">
      <c r="A36" s="8" t="s">
        <v>43</v>
      </c>
      <c r="B36" s="5"/>
    </row>
    <row r="37" spans="1:5" ht="15" customHeight="1" x14ac:dyDescent="0.25">
      <c r="B37" s="11" t="s">
        <v>44</v>
      </c>
      <c r="C37" s="43">
        <v>10.1883111614382</v>
      </c>
    </row>
    <row r="38" spans="1:5" ht="15" customHeight="1" x14ac:dyDescent="0.25">
      <c r="B38" s="11" t="s">
        <v>45</v>
      </c>
      <c r="C38" s="43">
        <v>14.269959103193401</v>
      </c>
      <c r="D38" s="12"/>
      <c r="E38" s="13"/>
    </row>
    <row r="39" spans="1:5" ht="15" customHeight="1" x14ac:dyDescent="0.25">
      <c r="B39" s="11" t="s">
        <v>46</v>
      </c>
      <c r="C39" s="43">
        <v>16.0094232560321</v>
      </c>
      <c r="D39" s="12"/>
      <c r="E39" s="12"/>
    </row>
    <row r="40" spans="1:5" ht="15" customHeight="1" x14ac:dyDescent="0.25">
      <c r="B40" s="11" t="s">
        <v>47</v>
      </c>
      <c r="C40" s="100">
        <v>0.61</v>
      </c>
    </row>
    <row r="41" spans="1:5" ht="15" customHeight="1" x14ac:dyDescent="0.25">
      <c r="B41" s="11" t="s">
        <v>48</v>
      </c>
      <c r="C41" s="45">
        <v>0.12</v>
      </c>
    </row>
    <row r="42" spans="1:5" ht="15" customHeight="1" x14ac:dyDescent="0.25">
      <c r="B42" s="11" t="s">
        <v>49</v>
      </c>
      <c r="C42" s="43">
        <v>10.286326170000001</v>
      </c>
    </row>
    <row r="43" spans="1:5" ht="15.75" customHeight="1" x14ac:dyDescent="0.25">
      <c r="D43" s="12"/>
    </row>
    <row r="44" spans="1:5" ht="15.75" customHeight="1" x14ac:dyDescent="0.25">
      <c r="A44" s="8" t="s">
        <v>50</v>
      </c>
      <c r="D44" s="12"/>
    </row>
    <row r="45" spans="1:5" ht="15.75" customHeight="1" x14ac:dyDescent="0.25">
      <c r="B45" s="11" t="s">
        <v>51</v>
      </c>
      <c r="C45" s="45">
        <v>2.8658999999999998E-3</v>
      </c>
      <c r="D45" s="12"/>
    </row>
    <row r="46" spans="1:5" ht="15.75" customHeight="1" x14ac:dyDescent="0.25">
      <c r="B46" s="11" t="s">
        <v>52</v>
      </c>
      <c r="C46" s="45">
        <v>8.5700800000000008E-2</v>
      </c>
      <c r="D46" s="12"/>
    </row>
    <row r="47" spans="1:5" ht="15.75" customHeight="1" x14ac:dyDescent="0.25">
      <c r="B47" s="11" t="s">
        <v>53</v>
      </c>
      <c r="C47" s="45">
        <v>0.142431</v>
      </c>
      <c r="D47" s="12"/>
      <c r="E47" s="13"/>
    </row>
    <row r="48" spans="1:5" ht="15" customHeight="1" x14ac:dyDescent="0.25">
      <c r="B48" s="11" t="s">
        <v>54</v>
      </c>
      <c r="C48" s="46">
        <v>0.76900229999999992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55</v>
      </c>
      <c r="D50" s="12"/>
    </row>
    <row r="51" spans="1:4" ht="15.75" customHeight="1" x14ac:dyDescent="0.25">
      <c r="B51" s="11" t="s">
        <v>56</v>
      </c>
      <c r="C51" s="100">
        <v>3.3</v>
      </c>
      <c r="D51" s="12"/>
    </row>
    <row r="52" spans="1:4" ht="15" customHeight="1" x14ac:dyDescent="0.25">
      <c r="B52" s="11" t="s">
        <v>57</v>
      </c>
      <c r="C52" s="100">
        <v>3.3</v>
      </c>
    </row>
    <row r="53" spans="1:4" ht="15.75" customHeight="1" x14ac:dyDescent="0.25">
      <c r="B53" s="11" t="s">
        <v>58</v>
      </c>
      <c r="C53" s="100">
        <v>3.3</v>
      </c>
    </row>
    <row r="54" spans="1:4" ht="15.75" customHeight="1" x14ac:dyDescent="0.25">
      <c r="B54" s="11" t="s">
        <v>59</v>
      </c>
      <c r="C54" s="100">
        <v>3.3</v>
      </c>
    </row>
    <row r="55" spans="1:4" ht="15.75" customHeight="1" x14ac:dyDescent="0.25">
      <c r="B55" s="11" t="s">
        <v>60</v>
      </c>
      <c r="C55" s="100">
        <v>3.3</v>
      </c>
    </row>
    <row r="57" spans="1:4" ht="15.75" customHeight="1" x14ac:dyDescent="0.25">
      <c r="A57" s="8" t="s">
        <v>61</v>
      </c>
    </row>
    <row r="58" spans="1:4" ht="15.75" customHeight="1" x14ac:dyDescent="0.25">
      <c r="B58" s="5" t="s">
        <v>62</v>
      </c>
      <c r="C58" s="45">
        <v>2.181818181818182E-2</v>
      </c>
    </row>
    <row r="59" spans="1:4" ht="15.75" customHeight="1" x14ac:dyDescent="0.25">
      <c r="B59" s="11" t="s">
        <v>63</v>
      </c>
      <c r="C59" s="45">
        <v>0.55043399999999998</v>
      </c>
    </row>
    <row r="60" spans="1:4" ht="15.75" customHeight="1" x14ac:dyDescent="0.25">
      <c r="B60" s="11" t="s">
        <v>64</v>
      </c>
      <c r="C60" s="45">
        <v>4.5999999999999999E-2</v>
      </c>
    </row>
    <row r="61" spans="1:4" ht="15.75" customHeight="1" x14ac:dyDescent="0.25">
      <c r="B61" s="11" t="s">
        <v>65</v>
      </c>
      <c r="C61" s="45">
        <v>1.4E-2</v>
      </c>
    </row>
    <row r="62" spans="1:4" ht="15.75" customHeight="1" x14ac:dyDescent="0.25">
      <c r="B62" s="11" t="s">
        <v>67</v>
      </c>
      <c r="C62" s="44">
        <v>5.0010632999999999E-2</v>
      </c>
    </row>
    <row r="63" spans="1:4" ht="15.75" customHeight="1" x14ac:dyDescent="0.3">
      <c r="A63" s="4"/>
    </row>
  </sheetData>
  <sheetProtection algorithmName="SHA-512" hashValue="Y5GCbvAZd4jvut1/99MSBMAl428rdDK8/26cNIrhvLAGkiFeUDya8y4MeccX1ZetCJVtZ1MQLox3txUP6ugFow==" saltValue="QLb1AuZpq5Wxe1sbDtMPK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5">
      <c r="A2" s="5" t="s">
        <v>168</v>
      </c>
      <c r="B2" s="45">
        <v>0</v>
      </c>
      <c r="C2" s="98">
        <v>0.95</v>
      </c>
      <c r="D2" s="56">
        <v>43.717396986078107</v>
      </c>
      <c r="E2" s="56" t="s">
        <v>201</v>
      </c>
      <c r="F2" s="98">
        <v>1</v>
      </c>
      <c r="G2" s="98">
        <v>1</v>
      </c>
    </row>
    <row r="3" spans="1:7" ht="15.75" customHeight="1" x14ac:dyDescent="0.25">
      <c r="A3" s="5" t="s">
        <v>169</v>
      </c>
      <c r="B3" s="45">
        <v>0</v>
      </c>
      <c r="C3" s="98">
        <v>0.95</v>
      </c>
      <c r="D3" s="56">
        <v>44.834077734861673</v>
      </c>
      <c r="E3" s="56" t="s">
        <v>201</v>
      </c>
      <c r="F3" s="98">
        <v>1</v>
      </c>
      <c r="G3" s="98">
        <v>1</v>
      </c>
    </row>
    <row r="4" spans="1:7" ht="15.75" customHeight="1" x14ac:dyDescent="0.25">
      <c r="A4" s="5" t="s">
        <v>170</v>
      </c>
      <c r="B4" s="98">
        <v>0</v>
      </c>
      <c r="C4" s="98">
        <v>0.95</v>
      </c>
      <c r="D4" s="56">
        <v>190.0226088131827</v>
      </c>
      <c r="E4" s="56" t="s">
        <v>201</v>
      </c>
      <c r="F4" s="98">
        <v>1</v>
      </c>
      <c r="G4" s="98">
        <v>1</v>
      </c>
    </row>
    <row r="5" spans="1:7" ht="15.75" customHeight="1" x14ac:dyDescent="0.25">
      <c r="A5" s="5" t="s">
        <v>171</v>
      </c>
      <c r="B5" s="98">
        <v>0</v>
      </c>
      <c r="C5" s="98">
        <v>0.95</v>
      </c>
      <c r="D5" s="56">
        <v>5.4048141617554819</v>
      </c>
      <c r="E5" s="56" t="s">
        <v>201</v>
      </c>
      <c r="F5" s="98">
        <v>1</v>
      </c>
      <c r="G5" s="98">
        <v>1</v>
      </c>
    </row>
    <row r="6" spans="1:7" ht="15.75" customHeight="1" x14ac:dyDescent="0.25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5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5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5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5">
      <c r="A10" s="11" t="s">
        <v>176</v>
      </c>
      <c r="B10" s="45">
        <v>0</v>
      </c>
      <c r="C10" s="98">
        <v>0.95</v>
      </c>
      <c r="D10" s="56">
        <v>14.35913960398203</v>
      </c>
      <c r="E10" s="56" t="s">
        <v>201</v>
      </c>
      <c r="F10" s="98">
        <v>1</v>
      </c>
      <c r="G10" s="98">
        <v>1</v>
      </c>
    </row>
    <row r="11" spans="1:7" ht="15.75" customHeight="1" x14ac:dyDescent="0.25">
      <c r="A11" s="11" t="s">
        <v>177</v>
      </c>
      <c r="B11" s="98">
        <v>0</v>
      </c>
      <c r="C11" s="98">
        <v>0.95</v>
      </c>
      <c r="D11" s="56">
        <v>14.35913960398203</v>
      </c>
      <c r="E11" s="56" t="s">
        <v>201</v>
      </c>
      <c r="F11" s="98">
        <v>1</v>
      </c>
      <c r="G11" s="98">
        <v>1</v>
      </c>
    </row>
    <row r="12" spans="1:7" ht="15.75" customHeight="1" x14ac:dyDescent="0.25">
      <c r="A12" s="11" t="s">
        <v>178</v>
      </c>
      <c r="B12" s="98">
        <v>0</v>
      </c>
      <c r="C12" s="98">
        <v>0.95</v>
      </c>
      <c r="D12" s="56">
        <v>14.35913960398203</v>
      </c>
      <c r="E12" s="56" t="s">
        <v>201</v>
      </c>
      <c r="F12" s="98">
        <v>1</v>
      </c>
      <c r="G12" s="98">
        <v>1</v>
      </c>
    </row>
    <row r="13" spans="1:7" ht="15.75" customHeight="1" x14ac:dyDescent="0.25">
      <c r="A13" s="11" t="s">
        <v>179</v>
      </c>
      <c r="B13" s="98">
        <v>0</v>
      </c>
      <c r="C13" s="98">
        <v>0.95</v>
      </c>
      <c r="D13" s="56">
        <v>14.35913960398203</v>
      </c>
      <c r="E13" s="56" t="s">
        <v>201</v>
      </c>
      <c r="F13" s="98">
        <v>1</v>
      </c>
      <c r="G13" s="98">
        <v>1</v>
      </c>
    </row>
    <row r="14" spans="1:7" ht="15.75" customHeight="1" x14ac:dyDescent="0.25">
      <c r="A14" s="5" t="s">
        <v>180</v>
      </c>
      <c r="B14" s="45">
        <v>0</v>
      </c>
      <c r="C14" s="98">
        <v>0.95</v>
      </c>
      <c r="D14" s="56">
        <v>14.35913960398203</v>
      </c>
      <c r="E14" s="56" t="s">
        <v>201</v>
      </c>
      <c r="F14" s="98">
        <v>1</v>
      </c>
      <c r="G14" s="98">
        <v>1</v>
      </c>
    </row>
    <row r="15" spans="1:7" ht="15.75" customHeight="1" x14ac:dyDescent="0.25">
      <c r="A15" s="5" t="s">
        <v>181</v>
      </c>
      <c r="B15" s="98">
        <v>0</v>
      </c>
      <c r="C15" s="98">
        <v>0.95</v>
      </c>
      <c r="D15" s="56">
        <v>14.35913960398203</v>
      </c>
      <c r="E15" s="56" t="s">
        <v>201</v>
      </c>
      <c r="F15" s="98">
        <v>1</v>
      </c>
      <c r="G15" s="98">
        <v>1</v>
      </c>
    </row>
    <row r="16" spans="1:7" ht="15.75" customHeight="1" x14ac:dyDescent="0.25">
      <c r="A16" s="5" t="s">
        <v>182</v>
      </c>
      <c r="B16" s="45">
        <v>0</v>
      </c>
      <c r="C16" s="98">
        <v>0.95</v>
      </c>
      <c r="D16" s="56">
        <v>0.41542488627073471</v>
      </c>
      <c r="E16" s="56" t="s">
        <v>201</v>
      </c>
      <c r="F16" s="98">
        <v>1</v>
      </c>
      <c r="G16" s="98">
        <v>1</v>
      </c>
    </row>
    <row r="17" spans="1:7" ht="15.75" customHeight="1" x14ac:dyDescent="0.25">
      <c r="A17" s="5" t="s">
        <v>183</v>
      </c>
      <c r="B17" s="98">
        <v>0.95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" customHeight="1" x14ac:dyDescent="0.25">
      <c r="A18" s="5" t="s">
        <v>157</v>
      </c>
      <c r="B18" s="98">
        <v>0</v>
      </c>
      <c r="C18" s="98">
        <v>0.95</v>
      </c>
      <c r="D18" s="56">
        <v>4.4482358424844612</v>
      </c>
      <c r="E18" s="56" t="s">
        <v>201</v>
      </c>
      <c r="F18" s="98">
        <v>1</v>
      </c>
      <c r="G18" s="98">
        <v>1</v>
      </c>
    </row>
    <row r="19" spans="1:7" ht="15.75" customHeight="1" x14ac:dyDescent="0.25">
      <c r="A19" s="5" t="s">
        <v>158</v>
      </c>
      <c r="B19" s="98">
        <v>0</v>
      </c>
      <c r="C19" s="98">
        <v>0.95</v>
      </c>
      <c r="D19" s="56">
        <v>4.4482358424844612</v>
      </c>
      <c r="E19" s="56" t="s">
        <v>201</v>
      </c>
      <c r="F19" s="98">
        <v>1</v>
      </c>
      <c r="G19" s="98">
        <v>1</v>
      </c>
    </row>
    <row r="20" spans="1:7" ht="15.75" customHeight="1" x14ac:dyDescent="0.25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5">
      <c r="A21" s="5" t="s">
        <v>184</v>
      </c>
      <c r="B21" s="45">
        <v>0</v>
      </c>
      <c r="C21" s="98">
        <v>0.95</v>
      </c>
      <c r="D21" s="56">
        <v>56.625848696237107</v>
      </c>
      <c r="E21" s="56" t="s">
        <v>201</v>
      </c>
      <c r="F21" s="98">
        <v>1</v>
      </c>
      <c r="G21" s="98">
        <v>1</v>
      </c>
    </row>
    <row r="22" spans="1:7" ht="15.75" customHeight="1" x14ac:dyDescent="0.25">
      <c r="A22" s="5" t="s">
        <v>185</v>
      </c>
      <c r="B22" s="98">
        <v>0</v>
      </c>
      <c r="C22" s="98">
        <v>0.95</v>
      </c>
      <c r="D22" s="56">
        <v>24.569538152769219</v>
      </c>
      <c r="E22" s="56" t="s">
        <v>201</v>
      </c>
      <c r="F22" s="98">
        <v>1</v>
      </c>
      <c r="G22" s="98">
        <v>1</v>
      </c>
    </row>
    <row r="23" spans="1:7" ht="15.75" customHeight="1" x14ac:dyDescent="0.25">
      <c r="A23" s="5" t="s">
        <v>186</v>
      </c>
      <c r="B23" s="98">
        <v>0</v>
      </c>
      <c r="C23" s="98">
        <v>0.95</v>
      </c>
      <c r="D23" s="56">
        <v>4.7648286502090178</v>
      </c>
      <c r="E23" s="56" t="s">
        <v>201</v>
      </c>
      <c r="F23" s="98">
        <v>1</v>
      </c>
      <c r="G23" s="98">
        <v>1</v>
      </c>
    </row>
    <row r="24" spans="1:7" ht="15.75" customHeight="1" x14ac:dyDescent="0.25">
      <c r="A24" s="5" t="s">
        <v>187</v>
      </c>
      <c r="B24" s="45">
        <v>0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5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5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5">
      <c r="A27" s="5" t="s">
        <v>190</v>
      </c>
      <c r="B27" s="45">
        <v>0</v>
      </c>
      <c r="C27" s="98">
        <v>0.95</v>
      </c>
      <c r="D27" s="56">
        <v>20.68706504341953</v>
      </c>
      <c r="E27" s="56" t="s">
        <v>201</v>
      </c>
      <c r="F27" s="98">
        <v>1</v>
      </c>
      <c r="G27" s="98">
        <v>1</v>
      </c>
    </row>
    <row r="28" spans="1:7" ht="15.75" customHeight="1" x14ac:dyDescent="0.25">
      <c r="A28" s="5" t="s">
        <v>191</v>
      </c>
      <c r="B28" s="45">
        <v>0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5">
      <c r="A29" s="5" t="s">
        <v>192</v>
      </c>
      <c r="B29" s="45">
        <v>0</v>
      </c>
      <c r="C29" s="98">
        <v>0.95</v>
      </c>
      <c r="D29" s="56">
        <v>80.983006519796163</v>
      </c>
      <c r="E29" s="56" t="s">
        <v>201</v>
      </c>
      <c r="F29" s="98">
        <v>1</v>
      </c>
      <c r="G29" s="98">
        <v>1</v>
      </c>
    </row>
    <row r="30" spans="1:7" ht="15.75" customHeight="1" x14ac:dyDescent="0.25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5">
      <c r="A31" s="5" t="s">
        <v>161</v>
      </c>
      <c r="B31" s="45">
        <v>0</v>
      </c>
      <c r="C31" s="98">
        <v>0.95</v>
      </c>
      <c r="D31" s="56">
        <v>0.43586457689828911</v>
      </c>
      <c r="E31" s="56" t="s">
        <v>201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</v>
      </c>
      <c r="C32" s="98">
        <v>0.95</v>
      </c>
      <c r="D32" s="56">
        <v>0.85083653245513768</v>
      </c>
      <c r="E32" s="56" t="s">
        <v>201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0.95504837712201096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</v>
      </c>
      <c r="C38" s="98">
        <v>0.95</v>
      </c>
      <c r="D38" s="56">
        <v>2.6133364444192</v>
      </c>
      <c r="E38" s="56" t="s">
        <v>201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+6qwkYRF7VlRRov0FSHHKKId9mSN6OE8GDqIrNrXultithVQwKXVwO1Z3IUOd5YUv2hE5eO/IBwlP2AO7OBDkg==" saltValue="5y4U1JUzxZCLxSx5at2se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8" sqref="B7:B8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160</v>
      </c>
      <c r="B1" s="4" t="s">
        <v>206</v>
      </c>
      <c r="C1" s="4" t="s">
        <v>207</v>
      </c>
    </row>
    <row r="2" spans="1:3" ht="13.25" customHeight="1" x14ac:dyDescent="0.25">
      <c r="A2" s="57" t="s">
        <v>180</v>
      </c>
      <c r="B2" s="47" t="s">
        <v>190</v>
      </c>
      <c r="C2" s="47"/>
    </row>
    <row r="3" spans="1:3" ht="13.25" customHeight="1" x14ac:dyDescent="0.25">
      <c r="A3" s="57" t="s">
        <v>181</v>
      </c>
      <c r="B3" s="47" t="s">
        <v>190</v>
      </c>
      <c r="C3" s="47"/>
    </row>
    <row r="4" spans="1:3" ht="13.25" customHeight="1" x14ac:dyDescent="0.25">
      <c r="A4" s="57" t="s">
        <v>192</v>
      </c>
      <c r="B4" s="47" t="s">
        <v>185</v>
      </c>
      <c r="C4" s="47"/>
    </row>
    <row r="5" spans="1:3" ht="13.25" customHeight="1" x14ac:dyDescent="0.25">
      <c r="A5" s="57" t="s">
        <v>189</v>
      </c>
      <c r="B5" s="47" t="s">
        <v>185</v>
      </c>
      <c r="C5" s="47"/>
    </row>
    <row r="6" spans="1:3" ht="13.25" customHeight="1" x14ac:dyDescent="0.25">
      <c r="A6" s="57"/>
      <c r="B6" s="58"/>
      <c r="C6" s="58"/>
    </row>
    <row r="7" spans="1:3" ht="13.25" customHeight="1" x14ac:dyDescent="0.25">
      <c r="A7" s="57"/>
      <c r="B7" s="58"/>
      <c r="C7" s="58"/>
    </row>
    <row r="8" spans="1:3" ht="13.25" customHeight="1" x14ac:dyDescent="0.25">
      <c r="A8" s="57"/>
      <c r="B8" s="58"/>
      <c r="C8" s="58"/>
    </row>
    <row r="9" spans="1:3" ht="13.25" customHeight="1" x14ac:dyDescent="0.25">
      <c r="A9" s="57"/>
      <c r="B9" s="58"/>
      <c r="C9" s="58"/>
    </row>
    <row r="10" spans="1:3" ht="13.25" customHeight="1" x14ac:dyDescent="0.25">
      <c r="A10" s="57"/>
      <c r="B10" s="58"/>
      <c r="C10" s="58"/>
    </row>
    <row r="11" spans="1:3" ht="13.25" customHeight="1" x14ac:dyDescent="0.25">
      <c r="A11" s="59"/>
      <c r="B11" s="58"/>
      <c r="C11" s="58"/>
    </row>
    <row r="12" spans="1:3" ht="13.25" customHeight="1" x14ac:dyDescent="0.25">
      <c r="A12" s="59"/>
      <c r="B12" s="58"/>
      <c r="C12" s="58"/>
    </row>
    <row r="13" spans="1:3" ht="13.25" customHeight="1" x14ac:dyDescent="0.25">
      <c r="A13" s="59"/>
      <c r="B13" s="58"/>
      <c r="C13" s="58"/>
    </row>
    <row r="14" spans="1:3" ht="13.25" customHeight="1" x14ac:dyDescent="0.25">
      <c r="A14" s="59"/>
      <c r="B14" s="58"/>
      <c r="C14" s="58"/>
    </row>
    <row r="15" spans="1:3" ht="13.25" customHeight="1" x14ac:dyDescent="0.25">
      <c r="A15" s="59"/>
      <c r="B15" s="58"/>
      <c r="C15" s="58"/>
    </row>
    <row r="16" spans="1:3" ht="13.25" customHeight="1" x14ac:dyDescent="0.25">
      <c r="A16" s="59"/>
      <c r="B16" s="58"/>
      <c r="C16" s="58"/>
    </row>
    <row r="17" spans="1:3" ht="13.25" customHeight="1" x14ac:dyDescent="0.25">
      <c r="A17" s="59"/>
      <c r="B17" s="58"/>
      <c r="C17" s="58"/>
    </row>
    <row r="18" spans="1:3" ht="13.25" customHeight="1" x14ac:dyDescent="0.25">
      <c r="A18" s="59"/>
      <c r="B18" s="58"/>
      <c r="C18" s="58"/>
    </row>
    <row r="19" spans="1:3" ht="13.25" customHeight="1" x14ac:dyDescent="0.25">
      <c r="A19" s="57"/>
      <c r="B19" s="58"/>
      <c r="C19" s="58"/>
    </row>
    <row r="20" spans="1:3" ht="13.25" customHeight="1" x14ac:dyDescent="0.25">
      <c r="A20" s="57"/>
      <c r="B20" s="58"/>
      <c r="C20" s="58"/>
    </row>
  </sheetData>
  <sheetProtection algorithmName="SHA-512" hashValue="VpFVUr8/WJRB7xN95sQ3hT+yZqasFuTyiIwO7S6AM+rDPv/weTukTwKMeBdZu74PTiU1hyrNjqdSwPWJ0fNqyA==" saltValue="btVKoA4DduZkv8TSQ8bH/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160</v>
      </c>
    </row>
    <row r="2" spans="1:1" ht="13.25" customHeight="1" x14ac:dyDescent="0.25">
      <c r="A2" s="33" t="s">
        <v>172</v>
      </c>
    </row>
    <row r="3" spans="1:1" ht="13.25" customHeight="1" x14ac:dyDescent="0.25">
      <c r="A3" s="33" t="s">
        <v>182</v>
      </c>
    </row>
    <row r="4" spans="1:1" ht="13.25" customHeight="1" x14ac:dyDescent="0.25">
      <c r="A4" s="33" t="s">
        <v>186</v>
      </c>
    </row>
    <row r="5" spans="1:1" ht="13.25" customHeight="1" x14ac:dyDescent="0.25">
      <c r="A5" s="33" t="s">
        <v>194</v>
      </c>
    </row>
    <row r="6" spans="1:1" ht="13.25" customHeight="1" x14ac:dyDescent="0.25">
      <c r="A6" s="33" t="s">
        <v>195</v>
      </c>
    </row>
    <row r="7" spans="1:1" ht="13.25" customHeight="1" x14ac:dyDescent="0.25">
      <c r="A7" s="33" t="s">
        <v>196</v>
      </c>
    </row>
    <row r="8" spans="1:1" ht="13.25" customHeight="1" x14ac:dyDescent="0.25">
      <c r="A8" s="33" t="s">
        <v>197</v>
      </c>
    </row>
    <row r="9" spans="1:1" ht="13.25" customHeight="1" x14ac:dyDescent="0.25">
      <c r="A9" s="33" t="s">
        <v>198</v>
      </c>
    </row>
    <row r="10" spans="1:1" ht="13.25" customHeight="1" x14ac:dyDescent="0.25">
      <c r="A10" s="33"/>
    </row>
    <row r="11" spans="1:1" ht="13.25" customHeight="1" x14ac:dyDescent="0.25">
      <c r="A11" s="33"/>
    </row>
    <row r="12" spans="1:1" ht="13.25" customHeight="1" x14ac:dyDescent="0.25">
      <c r="A12" s="33"/>
    </row>
    <row r="13" spans="1:1" ht="13.25" customHeight="1" x14ac:dyDescent="0.25">
      <c r="A13" s="33"/>
    </row>
    <row r="14" spans="1:1" ht="13.25" customHeight="1" x14ac:dyDescent="0.25">
      <c r="A14" s="33"/>
    </row>
    <row r="15" spans="1:1" ht="13.25" customHeight="1" x14ac:dyDescent="0.25">
      <c r="A15" s="33"/>
    </row>
    <row r="16" spans="1:1" ht="13.25" customHeight="1" x14ac:dyDescent="0.25">
      <c r="A16" s="33"/>
    </row>
    <row r="17" spans="1:1" ht="13.25" customHeight="1" x14ac:dyDescent="0.25">
      <c r="A17" s="33"/>
    </row>
    <row r="18" spans="1:1" ht="13.25" customHeight="1" x14ac:dyDescent="0.25">
      <c r="A18" s="33"/>
    </row>
    <row r="19" spans="1:1" ht="13.25" customHeight="1" x14ac:dyDescent="0.25">
      <c r="A19" s="33"/>
    </row>
  </sheetData>
  <sheetProtection algorithmName="SHA-512" hashValue="dm+7ONb3Ehvrae+L81Cjfutt4ZHx3Vn6k4ZNyLaQPCpcSu6S5I6KSv6Ca5BujDWaGVbxXTBXSmCLq74uQjEwiA==" saltValue="fpaVEj+YOhRkZbb+ftRG4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5">
      <c r="A2" s="3" t="s">
        <v>87</v>
      </c>
      <c r="B2" s="21">
        <f>'Données pop de l''année de ref'!C51</f>
        <v>3.3</v>
      </c>
      <c r="C2" s="21">
        <f>'Données pop de l''année de ref'!C52</f>
        <v>3.3</v>
      </c>
      <c r="D2" s="21">
        <f>'Données pop de l''année de ref'!C53</f>
        <v>3.3</v>
      </c>
      <c r="E2" s="21">
        <f>'Données pop de l''année de ref'!C54</f>
        <v>3.3</v>
      </c>
      <c r="F2" s="21">
        <f>'Données pop de l''année de ref'!C55</f>
        <v>3.3</v>
      </c>
    </row>
    <row r="3" spans="1:6" ht="15.75" customHeight="1" x14ac:dyDescent="0.25">
      <c r="A3" s="3" t="s">
        <v>209</v>
      </c>
      <c r="B3" s="21">
        <f>frac_mam_1month * 2.6</f>
        <v>0.16152697743265385</v>
      </c>
      <c r="C3" s="21">
        <f>frac_mam_1_5months * 2.6</f>
        <v>0.16152697743265385</v>
      </c>
      <c r="D3" s="21">
        <f>frac_mam_6_11months * 2.6</f>
        <v>0.19540884722875257</v>
      </c>
      <c r="E3" s="21">
        <f>frac_mam_12_23months * 2.6</f>
        <v>0.16192772409020947</v>
      </c>
      <c r="F3" s="21">
        <f>frac_mam_24_59months * 2.6</f>
        <v>8.8786553383986375E-2</v>
      </c>
    </row>
    <row r="4" spans="1:6" ht="15.75" customHeight="1" x14ac:dyDescent="0.25">
      <c r="A4" s="3" t="s">
        <v>208</v>
      </c>
      <c r="B4" s="21">
        <f>frac_sam_1month * 2.6</f>
        <v>0.11818829663407546</v>
      </c>
      <c r="C4" s="21">
        <f>frac_sam_1_5months * 2.6</f>
        <v>0.11818829663407546</v>
      </c>
      <c r="D4" s="21">
        <f>frac_sam_6_11months * 2.6</f>
        <v>0.11117918416731309</v>
      </c>
      <c r="E4" s="21">
        <f>frac_sam_12_23months * 2.6</f>
        <v>8.3837167174186142E-2</v>
      </c>
      <c r="F4" s="21">
        <f>frac_sam_24_59months * 2.6</f>
        <v>4.7825773302257339E-2</v>
      </c>
    </row>
  </sheetData>
  <sheetProtection algorithmName="SHA-512" hashValue="A5DgbtyeIaJWO5H98n+ZaxpCfxWq00mS9JuUL2fxYUIicGoLYjJs+f5NjiBsvNuAQrrHqgLNSWqqQ1WXZ6a1gQ==" saltValue="5CAmpTI+s2tCoWEdP3hxb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">
      <c r="A2" s="4" t="s">
        <v>86</v>
      </c>
      <c r="B2" s="5" t="s">
        <v>170</v>
      </c>
      <c r="C2" s="60">
        <v>0</v>
      </c>
      <c r="D2" s="60">
        <f>food_insecure</f>
        <v>2E-3</v>
      </c>
      <c r="E2" s="60">
        <f>food_insecure</f>
        <v>2E-3</v>
      </c>
      <c r="F2" s="60">
        <f>food_insecure</f>
        <v>2E-3</v>
      </c>
      <c r="G2" s="60">
        <f>food_insecure</f>
        <v>2E-3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185</v>
      </c>
      <c r="C5" s="60">
        <v>0</v>
      </c>
      <c r="D5" s="60">
        <v>0</v>
      </c>
      <c r="E5" s="60">
        <f>food_insecure</f>
        <v>2E-3</v>
      </c>
      <c r="F5" s="60">
        <f>food_insecure</f>
        <v>2E-3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191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192</v>
      </c>
      <c r="C8" s="60">
        <v>0</v>
      </c>
      <c r="D8" s="60">
        <v>0</v>
      </c>
      <c r="E8" s="60">
        <f>food_insecure</f>
        <v>2E-3</v>
      </c>
      <c r="F8" s="60">
        <f>food_insecure</f>
        <v>2E-3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205</v>
      </c>
      <c r="C9" s="60">
        <v>0</v>
      </c>
      <c r="D9" s="60">
        <v>0</v>
      </c>
      <c r="E9" s="60">
        <f>food_insecure</f>
        <v>2E-3</v>
      </c>
      <c r="F9" s="60">
        <f>food_insecure</f>
        <v>2E-3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161</v>
      </c>
      <c r="C10" s="60">
        <v>0</v>
      </c>
      <c r="D10" s="60">
        <f>IF(ISBLANK(comm_deliv), frac_children_health_facility,1)</f>
        <v>0.79200000000000004</v>
      </c>
      <c r="E10" s="60">
        <f>IF(ISBLANK(comm_deliv), frac_children_health_facility,1)</f>
        <v>0.79200000000000004</v>
      </c>
      <c r="F10" s="60">
        <f>IF(ISBLANK(comm_deliv), frac_children_health_facility,1)</f>
        <v>0.79200000000000004</v>
      </c>
      <c r="G10" s="60">
        <f>IF(ISBLANK(comm_deliv), frac_children_health_facility,1)</f>
        <v>0.79200000000000004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2E-3</v>
      </c>
      <c r="I15" s="60">
        <f>food_insecure</f>
        <v>2E-3</v>
      </c>
      <c r="J15" s="60">
        <f>food_insecure</f>
        <v>2E-3</v>
      </c>
      <c r="K15" s="60">
        <f>food_insecure</f>
        <v>2E-3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0.95400000000000007</v>
      </c>
      <c r="I18" s="60">
        <f>frac_PW_health_facility</f>
        <v>0.95400000000000007</v>
      </c>
      <c r="J18" s="60">
        <f>frac_PW_health_facility</f>
        <v>0.95400000000000007</v>
      </c>
      <c r="K18" s="60">
        <f>frac_PW_health_facility</f>
        <v>0.95400000000000007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0.39600000000000002</v>
      </c>
      <c r="M24" s="60">
        <f>famplan_unmet_need</f>
        <v>0.39600000000000002</v>
      </c>
      <c r="N24" s="60">
        <f>famplan_unmet_need</f>
        <v>0.39600000000000002</v>
      </c>
      <c r="O24" s="60">
        <f>famplan_unmet_need</f>
        <v>0.39600000000000002</v>
      </c>
    </row>
    <row r="25" spans="1:15" ht="15.75" customHeight="1" x14ac:dyDescent="0.25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0.10895048923187248</v>
      </c>
      <c r="M25" s="60">
        <f>(1-food_insecure)*(0.49)+food_insecure*(0.7)</f>
        <v>0.49042000000000002</v>
      </c>
      <c r="N25" s="60">
        <f>(1-food_insecure)*(0.49)+food_insecure*(0.7)</f>
        <v>0.49042000000000002</v>
      </c>
      <c r="O25" s="60">
        <f>(1-food_insecure)*(0.49)+food_insecure*(0.7)</f>
        <v>0.49042000000000002</v>
      </c>
    </row>
    <row r="26" spans="1:15" ht="15.75" customHeight="1" x14ac:dyDescent="0.25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4.6693066813659624E-2</v>
      </c>
      <c r="M26" s="60">
        <f>(1-food_insecure)*(0.21)+food_insecure*(0.3)</f>
        <v>0.21017999999999998</v>
      </c>
      <c r="N26" s="60">
        <f>(1-food_insecure)*(0.21)+food_insecure*(0.3)</f>
        <v>0.21017999999999998</v>
      </c>
      <c r="O26" s="60">
        <f>(1-food_insecure)*(0.21)+food_insecure*(0.3)</f>
        <v>0.21017999999999998</v>
      </c>
    </row>
    <row r="27" spans="1:15" ht="15.75" customHeight="1" x14ac:dyDescent="0.25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6.6513960433959907E-2</v>
      </c>
      <c r="M27" s="60">
        <f>(1-food_insecure)*(0.3)</f>
        <v>0.2994</v>
      </c>
      <c r="N27" s="60">
        <f>(1-food_insecure)*(0.3)</f>
        <v>0.2994</v>
      </c>
      <c r="O27" s="60">
        <f>(1-food_insecure)*(0.3)</f>
        <v>0.2994</v>
      </c>
    </row>
    <row r="28" spans="1:15" ht="15.75" customHeight="1" x14ac:dyDescent="0.25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0.777842483520508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186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E1iMLkpIflOAKHS6VPqSLN0R7B1aaZ9iULlGNmZsS8tNjztckQiXWVGsdPgIoQDM26R+AP9ouRstqNHSRkHqKg==" saltValue="oRDd3say4roHD7lY9Yvg+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201</v>
      </c>
    </row>
    <row r="2" spans="1:1" x14ac:dyDescent="0.25">
      <c r="A2" s="8" t="s">
        <v>212</v>
      </c>
    </row>
    <row r="3" spans="1:1" x14ac:dyDescent="0.25">
      <c r="A3" s="8" t="s">
        <v>213</v>
      </c>
    </row>
    <row r="4" spans="1:1" x14ac:dyDescent="0.25">
      <c r="A4" s="8" t="s">
        <v>214</v>
      </c>
    </row>
  </sheetData>
  <sheetProtection algorithmName="SHA-512" hashValue="Ug+vqEZxoUaKq+bnBTY6vc7FURCvaVVhx9f191HRWdD3lfZTZ/Rq6GE3adaF9/Cr1sC3M67kWAtj/fT/29AvJA==" saltValue="enMqQRUDIDcokiJv9BigMg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4" customHeight="1" x14ac:dyDescent="0.3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OIgACWhYLFpOQ2oEeC7PaDygpTYHltfJOr5ff90YBGI/LCvuJDsi4a9tJlisQ9UX6MhwhtMmfLUyYGbCYhdB6g==" saltValue="u5m2+bmphTOcmzZWvU+gr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C12" sqref="C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CaqcRmiQ4kn7PIfRcDfmtBlT8uSOhuSKg7ErZXvw/n1WbzbrgCkMZnbBqPtB6v/OBrOnw+nPWBYGCnItQsLhOA==" saltValue="hsE2o7IniFMYCCSrgitMaw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15" workbookViewId="0">
      <selection activeCell="E28" sqref="E28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ht="13.25" customHeight="1" x14ac:dyDescent="0.25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ht="13.25" customHeight="1" x14ac:dyDescent="0.25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ht="13.25" customHeight="1" x14ac:dyDescent="0.25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ht="13.25" customHeight="1" x14ac:dyDescent="0.25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ht="13.25" customHeight="1" x14ac:dyDescent="0.25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ht="13.25" customHeight="1" x14ac:dyDescent="0.25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ht="13.25" customHeight="1" x14ac:dyDescent="0.25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ht="13.25" customHeight="1" x14ac:dyDescent="0.25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ht="13.25" customHeight="1" x14ac:dyDescent="0.25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ht="13.25" customHeight="1" x14ac:dyDescent="0.25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ht="13.25" customHeight="1" x14ac:dyDescent="0.25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ht="13.25" customHeight="1" x14ac:dyDescent="0.25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ht="13.25" customHeight="1" x14ac:dyDescent="0.25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ht="13.25" customHeight="1" x14ac:dyDescent="0.25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ht="13.25" customHeight="1" x14ac:dyDescent="0.25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ht="13.25" customHeight="1" x14ac:dyDescent="0.25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ht="13.25" customHeight="1" x14ac:dyDescent="0.25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ht="13.25" customHeight="1" x14ac:dyDescent="0.25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ht="13.25" customHeight="1" x14ac:dyDescent="0.25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ht="13.25" customHeight="1" x14ac:dyDescent="0.25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ht="13.25" customHeight="1" x14ac:dyDescent="0.25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5ANccFrv3eAHMcShrKlU2sZfktW0nIbvnhnqzFvW4pXo9CjRHaqNrO+iiXqT/lijHOj9bbDvXdBb9Lfea49AEQ==" saltValue="pWY4uawcZgAQyJMzf+1Gcw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ht="13.25" customHeight="1" x14ac:dyDescent="0.25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ht="13.25" customHeight="1" x14ac:dyDescent="0.25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ht="13.25" customHeight="1" x14ac:dyDescent="0.25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ht="13.25" customHeight="1" x14ac:dyDescent="0.25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ht="13.25" customHeight="1" x14ac:dyDescent="0.25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ht="13.25" customHeight="1" x14ac:dyDescent="0.25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ht="13.25" customHeight="1" x14ac:dyDescent="0.25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ht="13.25" customHeight="1" x14ac:dyDescent="0.25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ht="13.25" customHeight="1" x14ac:dyDescent="0.25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ht="13.25" customHeight="1" x14ac:dyDescent="0.25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ht="13.25" customHeight="1" x14ac:dyDescent="0.25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ht="13.25" customHeight="1" x14ac:dyDescent="0.25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ht="13.25" customHeight="1" x14ac:dyDescent="0.25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8R/PPKBnOitlD/JC15Qqa4oCDV9zTFrEXjNfTMyL+S0OPhQVS0CGSa4vSfo1nHIQmDcHu/9lQ37Fk7UxxmOU4A==" saltValue="4tuk8Bc2Tn9W+jyqLeJF/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5">
      <c r="A2" s="5">
        <f>start_year</f>
        <v>2021</v>
      </c>
      <c r="B2" s="49">
        <v>32435.5416</v>
      </c>
      <c r="C2" s="49">
        <v>84000</v>
      </c>
      <c r="D2" s="49">
        <v>229000</v>
      </c>
      <c r="E2" s="49">
        <v>338000</v>
      </c>
      <c r="F2" s="49">
        <v>255000</v>
      </c>
      <c r="G2" s="17">
        <f t="shared" ref="G2:G11" si="0">C2+D2+E2+F2</f>
        <v>906000</v>
      </c>
      <c r="H2" s="17">
        <f t="shared" ref="H2:H11" si="1">(B2 + stillbirth*B2/(1000-stillbirth))/(1-abortion)</f>
        <v>37241.649756504303</v>
      </c>
      <c r="I2" s="17">
        <f t="shared" ref="I2:I11" si="2">G2-H2</f>
        <v>868758.35024349566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31678.700400000002</v>
      </c>
      <c r="C3" s="50">
        <v>85000</v>
      </c>
      <c r="D3" s="50">
        <v>216000</v>
      </c>
      <c r="E3" s="50">
        <v>338000</v>
      </c>
      <c r="F3" s="50">
        <v>260000</v>
      </c>
      <c r="G3" s="17">
        <f t="shared" si="0"/>
        <v>899000</v>
      </c>
      <c r="H3" s="17">
        <f t="shared" si="1"/>
        <v>36372.664270173089</v>
      </c>
      <c r="I3" s="17">
        <f t="shared" si="2"/>
        <v>862627.33572982694</v>
      </c>
    </row>
    <row r="4" spans="1:9" ht="15.75" customHeight="1" x14ac:dyDescent="0.25">
      <c r="A4" s="5">
        <f t="shared" si="3"/>
        <v>2023</v>
      </c>
      <c r="B4" s="49">
        <v>30926.596399999999</v>
      </c>
      <c r="C4" s="50">
        <v>87000</v>
      </c>
      <c r="D4" s="50">
        <v>204000</v>
      </c>
      <c r="E4" s="50">
        <v>336000</v>
      </c>
      <c r="F4" s="50">
        <v>267000</v>
      </c>
      <c r="G4" s="17">
        <f t="shared" si="0"/>
        <v>894000</v>
      </c>
      <c r="H4" s="17">
        <f t="shared" si="1"/>
        <v>35509.117914330331</v>
      </c>
      <c r="I4" s="17">
        <f t="shared" si="2"/>
        <v>858490.88208566967</v>
      </c>
    </row>
    <row r="5" spans="1:9" ht="15.75" customHeight="1" x14ac:dyDescent="0.25">
      <c r="A5" s="5">
        <f t="shared" si="3"/>
        <v>2024</v>
      </c>
      <c r="B5" s="49">
        <v>30170.527399999999</v>
      </c>
      <c r="C5" s="50">
        <v>89000</v>
      </c>
      <c r="D5" s="50">
        <v>194000</v>
      </c>
      <c r="E5" s="50">
        <v>330000</v>
      </c>
      <c r="F5" s="50">
        <v>274000</v>
      </c>
      <c r="G5" s="17">
        <f t="shared" si="0"/>
        <v>887000</v>
      </c>
      <c r="H5" s="17">
        <f t="shared" si="1"/>
        <v>34641.019048062277</v>
      </c>
      <c r="I5" s="17">
        <f t="shared" si="2"/>
        <v>852358.98095193773</v>
      </c>
    </row>
    <row r="6" spans="1:9" ht="15.75" customHeight="1" x14ac:dyDescent="0.25">
      <c r="A6" s="5">
        <f t="shared" si="3"/>
        <v>2025</v>
      </c>
      <c r="B6" s="49">
        <v>29411.040000000001</v>
      </c>
      <c r="C6" s="50">
        <v>90000</v>
      </c>
      <c r="D6" s="50">
        <v>185000</v>
      </c>
      <c r="E6" s="50">
        <v>322000</v>
      </c>
      <c r="F6" s="50">
        <v>282000</v>
      </c>
      <c r="G6" s="17">
        <f t="shared" si="0"/>
        <v>879000</v>
      </c>
      <c r="H6" s="17">
        <f t="shared" si="1"/>
        <v>33768.995263348348</v>
      </c>
      <c r="I6" s="17">
        <f t="shared" si="2"/>
        <v>845231.00473665167</v>
      </c>
    </row>
    <row r="7" spans="1:9" ht="15.75" customHeight="1" x14ac:dyDescent="0.25">
      <c r="A7" s="5">
        <f t="shared" si="3"/>
        <v>2026</v>
      </c>
      <c r="B7" s="49">
        <v>28891.2624</v>
      </c>
      <c r="C7" s="50">
        <v>92000</v>
      </c>
      <c r="D7" s="50">
        <v>179000</v>
      </c>
      <c r="E7" s="50">
        <v>308000</v>
      </c>
      <c r="F7" s="50">
        <v>292000</v>
      </c>
      <c r="G7" s="17">
        <f t="shared" si="0"/>
        <v>871000</v>
      </c>
      <c r="H7" s="17">
        <f t="shared" si="1"/>
        <v>33172.200069693361</v>
      </c>
      <c r="I7" s="17">
        <f t="shared" si="2"/>
        <v>837827.79993030662</v>
      </c>
    </row>
    <row r="8" spans="1:9" ht="15.75" customHeight="1" x14ac:dyDescent="0.25">
      <c r="A8" s="5">
        <f t="shared" si="3"/>
        <v>2027</v>
      </c>
      <c r="B8" s="49">
        <v>28366.7592</v>
      </c>
      <c r="C8" s="50">
        <v>93000</v>
      </c>
      <c r="D8" s="50">
        <v>175000</v>
      </c>
      <c r="E8" s="50">
        <v>293000</v>
      </c>
      <c r="F8" s="50">
        <v>302000</v>
      </c>
      <c r="G8" s="17">
        <f t="shared" si="0"/>
        <v>863000</v>
      </c>
      <c r="H8" s="17">
        <f t="shared" si="1"/>
        <v>32569.979064369818</v>
      </c>
      <c r="I8" s="17">
        <f t="shared" si="2"/>
        <v>830430.02093563019</v>
      </c>
    </row>
    <row r="9" spans="1:9" ht="15.75" customHeight="1" x14ac:dyDescent="0.25">
      <c r="A9" s="5">
        <f t="shared" si="3"/>
        <v>2028</v>
      </c>
      <c r="B9" s="49">
        <v>27846.050400000011</v>
      </c>
      <c r="C9" s="50">
        <v>93000</v>
      </c>
      <c r="D9" s="50">
        <v>173000</v>
      </c>
      <c r="E9" s="50">
        <v>275000</v>
      </c>
      <c r="F9" s="50">
        <v>313000</v>
      </c>
      <c r="G9" s="17">
        <f t="shared" si="0"/>
        <v>854000</v>
      </c>
      <c r="H9" s="17">
        <f t="shared" si="1"/>
        <v>31972.114690965016</v>
      </c>
      <c r="I9" s="17">
        <f t="shared" si="2"/>
        <v>822027.88530903496</v>
      </c>
    </row>
    <row r="10" spans="1:9" ht="15.75" customHeight="1" x14ac:dyDescent="0.25">
      <c r="A10" s="5">
        <f t="shared" si="3"/>
        <v>2029</v>
      </c>
      <c r="B10" s="49">
        <v>27312.98880000001</v>
      </c>
      <c r="C10" s="50">
        <v>93000</v>
      </c>
      <c r="D10" s="50">
        <v>171000</v>
      </c>
      <c r="E10" s="50">
        <v>257000</v>
      </c>
      <c r="F10" s="50">
        <v>322000</v>
      </c>
      <c r="G10" s="17">
        <f t="shared" si="0"/>
        <v>843000</v>
      </c>
      <c r="H10" s="17">
        <f t="shared" si="1"/>
        <v>31360.067152167583</v>
      </c>
      <c r="I10" s="17">
        <f t="shared" si="2"/>
        <v>811639.93284783245</v>
      </c>
    </row>
    <row r="11" spans="1:9" ht="15.75" customHeight="1" x14ac:dyDescent="0.25">
      <c r="A11" s="5">
        <f t="shared" si="3"/>
        <v>2030</v>
      </c>
      <c r="B11" s="49">
        <v>26776.205999999998</v>
      </c>
      <c r="C11" s="50">
        <v>92000</v>
      </c>
      <c r="D11" s="50">
        <v>171000</v>
      </c>
      <c r="E11" s="50">
        <v>240000</v>
      </c>
      <c r="F11" s="50">
        <v>328000</v>
      </c>
      <c r="G11" s="17">
        <f t="shared" si="0"/>
        <v>831000</v>
      </c>
      <c r="H11" s="17">
        <f t="shared" si="1"/>
        <v>30743.747027797712</v>
      </c>
      <c r="I11" s="17">
        <f t="shared" si="2"/>
        <v>800256.25297220226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sFigyXk6xq1kxh/m9PHKu9l/gbF9odlnn5DrUZn5BreBtbPSAC45PViLxfHoMdtzKV0i90f6YQj2WN1NNFENw==" saltValue="wyzrA8iWKsxpjO92NOEifA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13" zoomScale="85" zoomScaleNormal="85" workbookViewId="0">
      <selection activeCell="E28" sqref="E28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ht="13" customHeight="1" x14ac:dyDescent="0.3">
      <c r="A2" s="4" t="s">
        <v>232</v>
      </c>
      <c r="B2" s="103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ht="13.25" customHeight="1" x14ac:dyDescent="0.25">
      <c r="B3" s="104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ht="13.25" customHeight="1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ht="13.25" customHeight="1" x14ac:dyDescent="0.25">
      <c r="B5" s="103" t="s">
        <v>109</v>
      </c>
      <c r="C5" s="8" t="s">
        <v>153</v>
      </c>
      <c r="D5" s="88">
        <f>IFERROR((MIN(1,1.56*'Dist. l''allaitement maternel'!$C$2)/(1-MIN(1,1.56*'Dist. l''allaitement maternel'!$C$2))) /
('Dist. l''allaitement maternel'!$C$2/(1-'Dist. l''allaitement maternel'!$C$2)), 1.56)</f>
        <v>1.56</v>
      </c>
      <c r="E5" s="88">
        <v>1</v>
      </c>
      <c r="F5" s="88">
        <v>1</v>
      </c>
      <c r="G5" s="88">
        <v>1</v>
      </c>
      <c r="H5" s="88">
        <v>1</v>
      </c>
    </row>
    <row r="6" spans="1:10" ht="13.25" customHeight="1" x14ac:dyDescent="0.25">
      <c r="B6" s="104"/>
      <c r="C6" s="8" t="s">
        <v>154</v>
      </c>
      <c r="D6" s="88">
        <f>IFERROR((MIN(1,1.56*'Dist. l''allaitement maternel'!$C$2)/(1-MIN(1,1.56*'Dist. l''allaitement maternel'!$C$2))) /
('Dist. l''allaitement maternel'!$C$2/(1-'Dist. l''allaitement maternel'!$C$2)), 1.56)</f>
        <v>1.56</v>
      </c>
      <c r="E6" s="88">
        <v>1</v>
      </c>
      <c r="F6" s="88">
        <v>1</v>
      </c>
      <c r="G6" s="88">
        <v>1</v>
      </c>
      <c r="H6" s="88">
        <v>1</v>
      </c>
    </row>
    <row r="7" spans="1:10" ht="13.25" customHeight="1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ht="13.25" customHeight="1" x14ac:dyDescent="0.25">
      <c r="B8" s="103" t="s">
        <v>96</v>
      </c>
      <c r="C8" s="8" t="s">
        <v>153</v>
      </c>
      <c r="D8" s="88">
        <v>1</v>
      </c>
      <c r="E8" s="88">
        <f>IFERROR((MIN(1,1.56*'Dist. l''allaitement maternel'!$D$2)/(1-MIN(1,1.56*'Dist. l''allaitement maternel'!$D$2))) /
('Dist. l''allaitement maternel'!$D$2/(1-'Dist. l''allaitement maternel'!$D$2)), 1.56)</f>
        <v>3.2223705001930187</v>
      </c>
      <c r="F8" s="88">
        <v>1</v>
      </c>
      <c r="G8" s="88">
        <v>1</v>
      </c>
      <c r="H8" s="88">
        <v>1</v>
      </c>
    </row>
    <row r="9" spans="1:10" ht="13.25" customHeight="1" x14ac:dyDescent="0.25">
      <c r="B9" s="104"/>
      <c r="C9" s="8" t="s">
        <v>154</v>
      </c>
      <c r="D9" s="88">
        <v>1</v>
      </c>
      <c r="E9" s="88">
        <f>IFERROR((MIN(1,1.56*'Dist. l''allaitement maternel'!$D$2)/(1-MIN(1,1.56*'Dist. l''allaitement maternel'!$D$2))) /
('Dist. l''allaitement maternel'!$D$2/(1-'Dist. l''allaitement maternel'!$D$2)), 1.56)</f>
        <v>3.2223705001930187</v>
      </c>
      <c r="F9" s="88">
        <v>1</v>
      </c>
      <c r="G9" s="88">
        <v>1</v>
      </c>
      <c r="H9" s="88">
        <v>1</v>
      </c>
    </row>
    <row r="10" spans="1:10" ht="13.25" customHeight="1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ht="13.25" customHeight="1" x14ac:dyDescent="0.25">
      <c r="B11" s="103" t="s">
        <v>97</v>
      </c>
      <c r="C11" s="8" t="s">
        <v>153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ht="13.25" customHeight="1" x14ac:dyDescent="0.25">
      <c r="B12" s="104"/>
      <c r="C12" s="8" t="s">
        <v>154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ht="13.25" customHeight="1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ht="13.25" customHeight="1" x14ac:dyDescent="0.25">
      <c r="B14" s="103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ht="13.25" customHeight="1" x14ac:dyDescent="0.25">
      <c r="B15" s="104"/>
      <c r="C15" s="8" t="s">
        <v>154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ht="13.25" customHeight="1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ht="13.25" customHeight="1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100</v>
      </c>
      <c r="C19" s="8" t="s">
        <v>153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ht="13.25" customHeight="1" x14ac:dyDescent="0.25">
      <c r="B20" s="104"/>
      <c r="C20" s="8" t="s">
        <v>154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ht="13.25" customHeight="1" x14ac:dyDescent="0.25">
      <c r="B21" s="104"/>
      <c r="C21" s="8" t="s">
        <v>155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ht="13.25" customHeight="1" x14ac:dyDescent="0.25">
      <c r="B22" s="103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ht="13.25" customHeight="1" x14ac:dyDescent="0.25">
      <c r="B23" s="104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ht="13.25" customHeight="1" x14ac:dyDescent="0.25">
      <c r="B24" s="104"/>
      <c r="C24" s="8" t="s">
        <v>155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ht="13.25" customHeight="1" x14ac:dyDescent="0.25">
      <c r="B25" s="103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ht="13.25" customHeight="1" x14ac:dyDescent="0.25">
      <c r="B26" s="104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97</v>
      </c>
      <c r="C28" s="8" t="s">
        <v>153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154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154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156</v>
      </c>
      <c r="C34" s="8" t="s">
        <v>155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97</v>
      </c>
      <c r="C45" s="8" t="s">
        <v>153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154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154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156</v>
      </c>
      <c r="C51" s="8" t="s">
        <v>155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ht="13" customHeight="1" x14ac:dyDescent="0.3">
      <c r="A55" s="4" t="s">
        <v>236</v>
      </c>
      <c r="B55" s="103" t="s">
        <v>100</v>
      </c>
      <c r="C55" s="8" t="s">
        <v>153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154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109</v>
      </c>
      <c r="C58" s="8" t="s">
        <v>153</v>
      </c>
      <c r="D58" s="88">
        <f>IFERROR((MIN(1,1.37*'Dist. l''allaitement maternel'!$C$2)/(1-MIN(1,1.37*'Dist. l''allaitement maternel'!$C$2))) /
('Dist. l''allaitement maternel'!$C$2/(1-'Dist. l''allaitement maternel'!$C$2)), 1.37)</f>
        <v>10.226489487383203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154</v>
      </c>
      <c r="D59" s="88">
        <f>IFERROR((MIN(1,1.37*'Dist. l''allaitement maternel'!$C$2)/(1-MIN(1,1.37*'Dist. l''allaitement maternel'!$C$2))) /
('Dist. l''allaitement maternel'!$C$2/(1-'Dist. l''allaitement maternel'!$C$2)), 1.37)</f>
        <v>10.226489487383203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96</v>
      </c>
      <c r="C61" s="8" t="s">
        <v>153</v>
      </c>
      <c r="D61" s="88">
        <f t="shared" si="2"/>
        <v>1</v>
      </c>
      <c r="E61" s="88">
        <f>IFERROR((MIN(1,1.37*'Dist. l''allaitement maternel'!$D$2)/(1-MIN(1,1.37*'Dist. l''allaitement maternel'!$D$2))) /
('Dist. l''allaitement maternel'!$D$2/(1-'Dist. l''allaitement maternel'!$D$2)), 1.37)</f>
        <v>2.0784411506894838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154</v>
      </c>
      <c r="D62" s="88">
        <f t="shared" si="2"/>
        <v>1</v>
      </c>
      <c r="E62" s="88">
        <f>IFERROR((MIN(1,1.37*'Dist. l''allaitement maternel'!$D$2)/(1-MIN(1,1.37*'Dist. l''allaitement maternel'!$D$2))) /
('Dist. l''allaitement maternel'!$D$2/(1-'Dist. l''allaitement maternel'!$D$2)), 1.37)</f>
        <v>2.0784411506894838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97</v>
      </c>
      <c r="C64" s="8" t="s">
        <v>153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154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98</v>
      </c>
      <c r="C67" s="8" t="s">
        <v>153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154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156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100</v>
      </c>
      <c r="C72" s="8" t="s">
        <v>153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154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109</v>
      </c>
      <c r="C75" s="8" t="s">
        <v>153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154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96</v>
      </c>
      <c r="C78" s="8" t="s">
        <v>153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154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97</v>
      </c>
      <c r="C81" s="8" t="s">
        <v>153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154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98</v>
      </c>
      <c r="C84" s="8" t="s">
        <v>153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154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156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100</v>
      </c>
      <c r="C89" s="8" t="s">
        <v>153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154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109</v>
      </c>
      <c r="C92" s="8" t="s">
        <v>153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154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96</v>
      </c>
      <c r="C95" s="8" t="s">
        <v>153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154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97</v>
      </c>
      <c r="C98" s="8" t="s">
        <v>153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154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98</v>
      </c>
      <c r="C101" s="8" t="s">
        <v>153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154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156</v>
      </c>
      <c r="C104" s="8" t="s">
        <v>155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ht="13" customHeight="1" x14ac:dyDescent="0.3">
      <c r="A108" s="4" t="s">
        <v>240</v>
      </c>
      <c r="B108" s="103" t="s">
        <v>100</v>
      </c>
      <c r="C108" s="8" t="s">
        <v>153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154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109</v>
      </c>
      <c r="C111" s="8" t="s">
        <v>153</v>
      </c>
      <c r="D111" s="88">
        <f>IFERROR((MIN(1,1.77*'Dist. l''allaitement maternel'!$C$2)/(1-MIN(1,1.77*'Dist. l''allaitement maternel'!$C$2))) /
('Dist. l''allaitement maternel'!$C$2/(1-'Dist. l''allaitement maternel'!$C$2)), 1.77)</f>
        <v>1.77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154</v>
      </c>
      <c r="D112" s="88">
        <f>IFERROR((MIN(1,1.77*'Dist. l''allaitement maternel'!$C$2)/(1-MIN(1,1.77*'Dist. l''allaitement maternel'!$C$2))) /
('Dist. l''allaitement maternel'!$C$2/(1-'Dist. l''allaitement maternel'!$C$2)), 1.77)</f>
        <v>1.77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96</v>
      </c>
      <c r="C114" s="8" t="s">
        <v>153</v>
      </c>
      <c r="D114" s="88">
        <f t="shared" si="12"/>
        <v>1</v>
      </c>
      <c r="E114" s="88">
        <f>IFERROR((MIN(1,1.77*'Dist. l''allaitement maternel'!$D$2)/(1-MIN(1,1.77*'Dist. l''allaitement maternel'!$D$2))) /
('Dist. l''allaitement maternel'!$D$2/(1-'Dist. l''allaitement maternel'!$D$2)), 1.77)</f>
        <v>6.0896096727262599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154</v>
      </c>
      <c r="D115" s="88">
        <f t="shared" si="12"/>
        <v>1</v>
      </c>
      <c r="E115" s="88">
        <f>IFERROR((MIN(1,1.77*'Dist. l''allaitement maternel'!$D$2)/(1-MIN(1,1.77*'Dist. l''allaitement maternel'!$D$2))) /
('Dist. l''allaitement maternel'!$D$2/(1-'Dist. l''allaitement maternel'!$D$2)), 1.77)</f>
        <v>6.0896096727262599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97</v>
      </c>
      <c r="C117" s="8" t="s">
        <v>153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154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98</v>
      </c>
      <c r="C120" s="8" t="s">
        <v>153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154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156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100</v>
      </c>
      <c r="C125" s="8" t="s">
        <v>153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154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109</v>
      </c>
      <c r="C128" s="8" t="s">
        <v>153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154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96</v>
      </c>
      <c r="C131" s="8" t="s">
        <v>153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154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97</v>
      </c>
      <c r="C134" s="8" t="s">
        <v>153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154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98</v>
      </c>
      <c r="C137" s="8" t="s">
        <v>153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154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156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100</v>
      </c>
      <c r="C142" s="8" t="s">
        <v>153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154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109</v>
      </c>
      <c r="C145" s="8" t="s">
        <v>153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154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96</v>
      </c>
      <c r="C148" s="8" t="s">
        <v>153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154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97</v>
      </c>
      <c r="C151" s="8" t="s">
        <v>153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154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98</v>
      </c>
      <c r="C154" s="8" t="s">
        <v>153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154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156</v>
      </c>
      <c r="C157" s="8" t="s">
        <v>155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w41xA1osPmmhpA4QatgoymqNASIZX2sPMaaKqiWfhnke6gm6OUAoE7GFaCm3SdWAGJo2iIYvZy8qGr5FKs1Q3Q==" saltValue="/rbUGIncl9fFgWnG7g4T5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31" sqref="C31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245</v>
      </c>
      <c r="C11" s="74"/>
      <c r="D11" s="75"/>
      <c r="E11" s="75"/>
      <c r="F11" s="75"/>
    </row>
    <row r="12" spans="1:6" ht="15.75" customHeight="1" x14ac:dyDescent="0.3">
      <c r="A12" s="4" t="s">
        <v>246</v>
      </c>
      <c r="C12" s="73"/>
      <c r="D12" s="64"/>
      <c r="E12" s="64"/>
      <c r="F12" s="64"/>
    </row>
    <row r="13" spans="1:6" ht="15.75" customHeight="1" x14ac:dyDescent="0.25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5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79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80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81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37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38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39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40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262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3">
      <c r="A39" s="4" t="s">
        <v>251</v>
      </c>
      <c r="C39" s="73"/>
      <c r="D39" s="64"/>
      <c r="E39" s="64"/>
      <c r="F39" s="64"/>
    </row>
    <row r="40" spans="1:6" ht="15.75" customHeight="1" x14ac:dyDescent="0.25">
      <c r="B40" s="11" t="s">
        <v>256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257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258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5">
      <c r="B45" s="5" t="s">
        <v>78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79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80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81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82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83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84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85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3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5">
      <c r="B58" s="5" t="s">
        <v>37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38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39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40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263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3">
      <c r="A66" s="4" t="s">
        <v>254</v>
      </c>
      <c r="C66" s="73"/>
      <c r="D66" s="64"/>
      <c r="E66" s="64"/>
      <c r="F66" s="64"/>
    </row>
    <row r="67" spans="1:6" ht="15.75" customHeight="1" x14ac:dyDescent="0.25">
      <c r="B67" s="11" t="s">
        <v>259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260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261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5">
      <c r="B72" s="5" t="s">
        <v>78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79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80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81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82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83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84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85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GVTTOZVhDZduxuRHIm3HZNRWOckzuait/bIl5cfh9x+89V9lMbeENY0uHR2YYQmDvW0sOsOkO5UUmHM07issDw==" saltValue="smxN+mJSSSPinRuIBNANj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D30" sqref="D30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278</v>
      </c>
    </row>
    <row r="29" spans="1:16" ht="13" customHeight="1" x14ac:dyDescent="0.3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271</v>
      </c>
    </row>
    <row r="56" spans="1:16" ht="26" customHeight="1" x14ac:dyDescent="0.3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275</v>
      </c>
    </row>
    <row r="65" spans="1:16" ht="26" customHeight="1" x14ac:dyDescent="0.3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78</v>
      </c>
      <c r="C66" s="3" t="s">
        <v>129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79</v>
      </c>
      <c r="C70" s="3" t="s">
        <v>129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80</v>
      </c>
      <c r="C74" s="3" t="s">
        <v>129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277</v>
      </c>
    </row>
    <row r="104" spans="1:16" ht="26" customHeight="1" x14ac:dyDescent="0.3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ht="13" customHeight="1" x14ac:dyDescent="0.3">
      <c r="A113" s="4"/>
      <c r="B113" s="8" t="s">
        <v>87</v>
      </c>
      <c r="C113" s="3" t="s">
        <v>10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267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268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269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88</v>
      </c>
      <c r="C117" s="3" t="s">
        <v>10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267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268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269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10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267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268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269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91</v>
      </c>
      <c r="C125" s="3" t="s">
        <v>10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267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268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269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89</v>
      </c>
      <c r="C129" s="3" t="s">
        <v>10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267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268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269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95</v>
      </c>
      <c r="C133" s="3" t="s">
        <v>10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267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268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269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ht="13" customHeight="1" x14ac:dyDescent="0.3">
      <c r="A140" s="4"/>
      <c r="B140" s="8" t="s">
        <v>87</v>
      </c>
      <c r="C140" s="3" t="s">
        <v>10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267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209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208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88</v>
      </c>
      <c r="C144" s="3" t="s">
        <v>10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267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209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208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10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267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209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208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91</v>
      </c>
      <c r="C152" s="3" t="s">
        <v>10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267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209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208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89</v>
      </c>
      <c r="C156" s="3" t="s">
        <v>10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267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209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208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95</v>
      </c>
      <c r="C160" s="3" t="s">
        <v>10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267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209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208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ht="13" customHeight="1" x14ac:dyDescent="0.3">
      <c r="A167" s="4"/>
      <c r="B167" s="8" t="s">
        <v>101</v>
      </c>
      <c r="C167" s="3" t="s">
        <v>273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274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102</v>
      </c>
      <c r="C169" s="3" t="s">
        <v>273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274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273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274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ht="13" customHeight="1" x14ac:dyDescent="0.3">
      <c r="A176" s="82"/>
      <c r="B176" s="8" t="s">
        <v>78</v>
      </c>
      <c r="C176" s="3" t="s">
        <v>129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130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131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132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79</v>
      </c>
      <c r="C180" s="3" t="s">
        <v>129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130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131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132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80</v>
      </c>
      <c r="C184" s="3" t="s">
        <v>129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130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131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132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82</v>
      </c>
      <c r="C188" s="3" t="s">
        <v>129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130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131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132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87</v>
      </c>
      <c r="C192" s="3" t="s">
        <v>129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130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131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132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88</v>
      </c>
      <c r="C196" s="3" t="s">
        <v>129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130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131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132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130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131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132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89</v>
      </c>
      <c r="C204" s="3" t="s">
        <v>129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130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131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132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92</v>
      </c>
      <c r="C208" s="3" t="s">
        <v>129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130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131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132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ht="13" customHeight="1" x14ac:dyDescent="0.3">
      <c r="A215" s="4"/>
      <c r="C215" s="3" t="s">
        <v>129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130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131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132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ht="13" customHeight="1" x14ac:dyDescent="0.3">
      <c r="A223" s="4"/>
      <c r="B223" s="8" t="s">
        <v>87</v>
      </c>
      <c r="C223" s="3" t="s">
        <v>10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267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268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269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88</v>
      </c>
      <c r="C227" s="3" t="s">
        <v>10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267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268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269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10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267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268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269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91</v>
      </c>
      <c r="C235" s="3" t="s">
        <v>10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267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268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269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89</v>
      </c>
      <c r="C239" s="3" t="s">
        <v>10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267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268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269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95</v>
      </c>
      <c r="C243" s="3" t="s">
        <v>10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267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268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269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ht="13" customHeight="1" x14ac:dyDescent="0.3">
      <c r="A250" s="4"/>
      <c r="B250" s="8" t="s">
        <v>87</v>
      </c>
      <c r="C250" s="3" t="s">
        <v>10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267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209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208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88</v>
      </c>
      <c r="C254" s="3" t="s">
        <v>10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267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209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208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10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267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209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208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91</v>
      </c>
      <c r="C262" s="3" t="s">
        <v>10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267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209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208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89</v>
      </c>
      <c r="C266" s="3" t="s">
        <v>10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267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209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208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95</v>
      </c>
      <c r="C270" s="3" t="s">
        <v>10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267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209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208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ht="13" customHeight="1" x14ac:dyDescent="0.3">
      <c r="A277" s="4"/>
      <c r="B277" s="8" t="s">
        <v>101</v>
      </c>
      <c r="C277" s="3" t="s">
        <v>273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274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102</v>
      </c>
      <c r="C279" s="3" t="s">
        <v>273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274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273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274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ht="13" customHeight="1" x14ac:dyDescent="0.3">
      <c r="A286" s="82"/>
      <c r="B286" s="8" t="s">
        <v>78</v>
      </c>
      <c r="C286" s="3" t="s">
        <v>129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130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131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132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79</v>
      </c>
      <c r="C290" s="3" t="s">
        <v>129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130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131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132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80</v>
      </c>
      <c r="C294" s="3" t="s">
        <v>129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130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131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132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82</v>
      </c>
      <c r="C298" s="3" t="s">
        <v>129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130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131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132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87</v>
      </c>
      <c r="C302" s="3" t="s">
        <v>129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130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131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132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88</v>
      </c>
      <c r="C306" s="3" t="s">
        <v>129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130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131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132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130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131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132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89</v>
      </c>
      <c r="C314" s="3" t="s">
        <v>129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130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131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132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92</v>
      </c>
      <c r="C318" s="3" t="s">
        <v>129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130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131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132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ht="13" customHeight="1" x14ac:dyDescent="0.3">
      <c r="A325" s="4"/>
      <c r="C325" s="3" t="s">
        <v>129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130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131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132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aUjOPu3FjiZgatR+oYo9Y03Y+h3KmDCeP5giF4W1lAqwhAF2vWZjIdlOZ3yU82JCg+kLWVOMhtiTniz99mzZ2g==" saltValue="SFnP0LRQ8zxSo6fOwbSOV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C29" sqref="C29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233</v>
      </c>
    </row>
    <row r="2" spans="1:7" ht="14.25" customHeight="1" x14ac:dyDescent="0.3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5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282</v>
      </c>
    </row>
    <row r="6" spans="1:7" ht="14.25" customHeight="1" x14ac:dyDescent="0.25">
      <c r="B6" s="5" t="s">
        <v>192</v>
      </c>
      <c r="C6" s="90">
        <v>1</v>
      </c>
      <c r="D6" s="90">
        <v>1</v>
      </c>
      <c r="E6" s="90">
        <f>IF(ISBLANK('Dist. de l''état nutritionnel'!$E$4),0.64, (0.64*SUM('Dist. de l''état nutritionnel'!$E$4:$E$5)/(1-0.64*SUM('Dist. de l''état nutritionnel'!$E$4:$E$5)))
/ (SUM('Dist. de l''état nutritionnel'!$E$4:$E$5)/(1-SUM('Dist. de l''état nutritionnel'!$E$4:$E$5))))</f>
        <v>0.56296131529467452</v>
      </c>
      <c r="F6" s="90">
        <f>IF(ISBLANK('Dist. de l''état nutritionnel'!$F$4),0.64, (0.64*SUM('Dist. de l''état nutritionnel'!$F$4:$F$5)/(1-0.64*SUM('Dist. de l''état nutritionnel'!$F$4:$F$5)))/ (SUM('Dist. de l''état nutritionnel'!$F$4:$F$5)/(1-SUM('Dist. de l''état nutritionnel'!$F$4:$F$5))))</f>
        <v>0.48132536711533214</v>
      </c>
      <c r="G6" s="90">
        <v>1</v>
      </c>
    </row>
    <row r="7" spans="1:7" ht="14.25" customHeight="1" x14ac:dyDescent="0.25">
      <c r="B7" s="5" t="s">
        <v>185</v>
      </c>
      <c r="C7" s="90">
        <v>1</v>
      </c>
      <c r="D7" s="90">
        <v>1</v>
      </c>
      <c r="E7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0.84160984554682261</v>
      </c>
      <c r="F7" s="90">
        <f>IF(ISBLANK('Dist. de l''état nutritionnel'!$F$4),0.88, (0.88*SUM('Dist. de l''état nutritionnel'!$F$4:$F$5)/(1-0.88*SUM('Dist. de l''état nutritionnel'!$F$4:$F$5)))/ (SUM('Dist. de l''état nutritionnel'!$F$4:$F$5)/(1-SUM('Dist. de l''état nutritionnel'!$F$4:$F$5))))</f>
        <v>0.79287329549969776</v>
      </c>
      <c r="G7" s="90">
        <v>1</v>
      </c>
    </row>
    <row r="8" spans="1:7" ht="14.25" customHeight="1" x14ac:dyDescent="0.25">
      <c r="B8" s="5" t="s">
        <v>205</v>
      </c>
      <c r="C8" s="90">
        <v>1</v>
      </c>
      <c r="D8" s="90">
        <v>1</v>
      </c>
      <c r="E8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0.84160984554682261</v>
      </c>
      <c r="F8" s="90">
        <f>IF(ISBLANK('Dist. de l''état nutritionnel'!$F$4),0.88, (0.88*SUM('Dist. de l''état nutritionnel'!$F$4:$F$5)/(1-0.88*SUM('Dist. de l''état nutritionnel'!$F$4:$F$5)))/ (SUM('Dist. de l''état nutritionnel'!$F$4:$F$5)/(1-SUM('Dist. de l''état nutritionnel'!$F$4:$F$5))))</f>
        <v>0.79287329549969776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283</v>
      </c>
    </row>
    <row r="15" spans="1:7" ht="14.25" customHeight="1" x14ac:dyDescent="0.3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288</v>
      </c>
    </row>
    <row r="20" spans="1:7" s="14" customFormat="1" ht="14.25" customHeight="1" x14ac:dyDescent="0.3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5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233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5">
      <c r="B26" s="11" t="s">
        <v>289</v>
      </c>
      <c r="C26" s="90" t="s">
        <v>11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290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291</v>
      </c>
    </row>
    <row r="29" spans="1:7" x14ac:dyDescent="0.25">
      <c r="B29" s="5" t="s">
        <v>292</v>
      </c>
      <c r="C29" s="90">
        <f t="shared" ref="C29:D32" si="0">IF(C6=1,1,C6*0.9)</f>
        <v>1</v>
      </c>
      <c r="D29" s="90">
        <f t="shared" si="0"/>
        <v>1</v>
      </c>
      <c r="E29" s="90">
        <f>IF(ISBLANK('Dist. de l''état nutritionnel'!E$4),0.44, (0.44*SUM('Dist. de l''état nutritionnel'!E$4:E$5)/(1-0.44*SUM('Dist. de l''état nutritionnel'!E$4:E$5)))/ (SUM('Dist. de l''état nutritionnel'!E$4:E$5)/(1-SUM('Dist. de l''état nutritionnel'!E$4:E$5))))</f>
        <v>0.36277569393211007</v>
      </c>
      <c r="F29" s="90">
        <f>IF(ISBLANK('Dist. de l''état nutritionnel'!F$4),0.44, (0.44*SUM('Dist. de l''état nutritionnel'!F$4:F$5)/(1-0.44*SUM('Dist. de l''état nutritionnel'!F$4:F$5)))/ (SUM('Dist. de l''état nutritionnel'!F$4:F$5)/(1-SUM('Dist. de l''état nutritionnel'!F$4:F$5))))</f>
        <v>0.29084997999567413</v>
      </c>
      <c r="G29" s="90">
        <f>IF(G6=1,1,G6*0.9)</f>
        <v>1</v>
      </c>
    </row>
    <row r="30" spans="1:7" x14ac:dyDescent="0.25">
      <c r="B30" s="5" t="s">
        <v>293</v>
      </c>
      <c r="C30" s="90">
        <f t="shared" si="0"/>
        <v>1</v>
      </c>
      <c r="D30" s="90">
        <f t="shared" si="0"/>
        <v>1</v>
      </c>
      <c r="E30" s="90">
        <f>IF(ISBLANK('Dist. de l''état nutritionnel'!E$4),0.85, (0.85*SUM('Dist. de l''état nutritionnel'!E$4:E$5)/(1-0.85*SUM('Dist. de l''état nutritionnel'!E$4:E$5)))/ (SUM('Dist. de l''état nutritionnel'!E$4:E$5)/(1-SUM('Dist. de l''état nutritionnel'!E$4:E$5))))</f>
        <v>0.80414832288083471</v>
      </c>
      <c r="F30" s="90">
        <f>IF(ISBLANK('Dist. de l''état nutritionnel'!F$4),0.85, (0.85*SUM('Dist. de l''état nutritionnel'!F$4:F$5)/(1-0.85*SUM('Dist. de l''état nutritionnel'!F$4:F$5)))/ (SUM('Dist. de l''état nutritionnel'!F$4:F$5)/(1-SUM('Dist. de l''état nutritionnel'!F$4:F$5))))</f>
        <v>0.74734530432094115</v>
      </c>
      <c r="G30" s="90">
        <f>IF(G7=1,1,G7*0.9)</f>
        <v>1</v>
      </c>
    </row>
    <row r="31" spans="1:7" x14ac:dyDescent="0.25">
      <c r="B31" s="5" t="s">
        <v>315</v>
      </c>
      <c r="C31" s="90">
        <f t="shared" si="0"/>
        <v>1</v>
      </c>
      <c r="D31" s="90">
        <f t="shared" si="0"/>
        <v>1</v>
      </c>
      <c r="E31" s="90">
        <f>IF(ISBLANK('Dist. de l''état nutritionnel'!E$4),0.85, (0.85*SUM('Dist. de l''état nutritionnel'!E$4:E$5)/(1-0.85*SUM('Dist. de l''état nutritionnel'!E$4:E$5)))/ (SUM('Dist. de l''état nutritionnel'!E$4:E$5)/(1-SUM('Dist. de l''état nutritionnel'!E$4:E$5))))</f>
        <v>0.80414832288083471</v>
      </c>
      <c r="F31" s="90">
        <f>IF(ISBLANK('Dist. de l''état nutritionnel'!F$4),0.85, (0.85*SUM('Dist. de l''état nutritionnel'!F$4:F$5)/(1-0.85*SUM('Dist. de l''état nutritionnel'!F$4:F$5)))/ (SUM('Dist. de l''état nutritionnel'!F$4:F$5)/(1-SUM('Dist. de l''état nutritionnel'!F$4:F$5))))</f>
        <v>0.74734530432094115</v>
      </c>
      <c r="G31" s="90">
        <f>IF(G8=1,1,G8*0.9)</f>
        <v>1</v>
      </c>
    </row>
    <row r="32" spans="1:7" x14ac:dyDescent="0.25">
      <c r="B32" s="5" t="s">
        <v>294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295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283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279</v>
      </c>
      <c r="B38" s="5" t="s">
        <v>297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298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121</v>
      </c>
      <c r="B40" s="11" t="s">
        <v>299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300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5">
      <c r="B44" s="11" t="s">
        <v>301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233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5">
      <c r="B49" s="11" t="s">
        <v>302</v>
      </c>
      <c r="C49" s="90" t="s">
        <v>11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303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304</v>
      </c>
    </row>
    <row r="52" spans="1:7" x14ac:dyDescent="0.25">
      <c r="B52" s="5" t="s">
        <v>305</v>
      </c>
      <c r="C52" s="90">
        <f t="shared" ref="C52:D55" si="3">IF(C6=1,1,C6*1.1)</f>
        <v>1</v>
      </c>
      <c r="D52" s="90">
        <f t="shared" si="3"/>
        <v>1</v>
      </c>
      <c r="E52" s="90">
        <f>IF(ISBLANK('Dist. de l''état nutritionnel'!E$4),0.92, (0.92*SUM('Dist. de l''état nutritionnel'!E$4:E$5)/(1-0.92*SUM('Dist. de l''état nutritionnel'!E$4:E$5)))/ (SUM('Dist. de l''état nutritionnel'!E$4:E$5)/(1-SUM('Dist. de l''état nutritionnel'!E$4:E$5))))</f>
        <v>0.89284839449898412</v>
      </c>
      <c r="F52" s="90">
        <f>IF(ISBLANK('Dist. de l''état nutritionnel'!F$4),0.92, (0.92*SUM('Dist. de l''état nutritionnel'!F$4:F$5)/(1-0.92*SUM('Dist. de l''état nutritionnel'!F$4:F$5)))/ (SUM('Dist. de l''état nutritionnel'!F$4:F$5)/(1-SUM('Dist. de l''état nutritionnel'!F$4:F$5))))</f>
        <v>0.85720286213845309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IF(ISBLANK('Dist. de l''état nutritionnel'!E$4),0.91, (0.91*SUM('Dist. de l''état nutritionnel'!E$4:E$5)/(1-0.91*SUM('Dist. de l''état nutritionnel'!E$4:E$5)))/ (SUM('Dist. de l''état nutritionnel'!E$4:E$5)/(1-SUM('Dist. de l''état nutritionnel'!E$4:E$5))))</f>
        <v>0.87989751112083237</v>
      </c>
      <c r="F53" s="90">
        <f>IF(ISBLANK('Dist. de l''état nutritionnel'!F$4),0.91, (0.91*SUM('Dist. de l''état nutritionnel'!F$4:F$5)/(1-0.91*SUM('Dist. de l''état nutritionnel'!F$4:F$5)))/ (SUM('Dist. de l''état nutritionnel'!F$4:F$5)/(1-SUM('Dist. de l''état nutritionnel'!F$4:F$5))))</f>
        <v>0.84071229759698951</v>
      </c>
      <c r="G53" s="90">
        <f>IF(G7=1,1,G7*1.1)</f>
        <v>1</v>
      </c>
    </row>
    <row r="54" spans="1:7" x14ac:dyDescent="0.25">
      <c r="B54" s="5" t="s">
        <v>316</v>
      </c>
      <c r="C54" s="90">
        <f t="shared" si="3"/>
        <v>1</v>
      </c>
      <c r="D54" s="90">
        <f t="shared" si="3"/>
        <v>1</v>
      </c>
      <c r="E54" s="90">
        <f>IF(ISBLANK('Dist. de l''état nutritionnel'!E$4),0.91, (0.91*SUM('Dist. de l''état nutritionnel'!E$4:E$5)/(1-0.91*SUM('Dist. de l''état nutritionnel'!E$4:E$5)))/ (SUM('Dist. de l''état nutritionnel'!E$4:E$5)/(1-SUM('Dist. de l''état nutritionnel'!E$4:E$5))))</f>
        <v>0.87989751112083237</v>
      </c>
      <c r="F54" s="90">
        <f>IF(ISBLANK('Dist. de l''état nutritionnel'!F$4),0.91, (0.91*SUM('Dist. de l''état nutritionnel'!F$4:F$5)/(1-0.91*SUM('Dist. de l''état nutritionnel'!F$4:F$5)))/ (SUM('Dist. de l''état nutritionnel'!F$4:F$5)/(1-SUM('Dist. de l''état nutritionnel'!F$4:F$5))))</f>
        <v>0.84071229759698951</v>
      </c>
      <c r="G54" s="90">
        <f>IF(G8=1,1,G8*1.1)</f>
        <v>1</v>
      </c>
    </row>
    <row r="55" spans="1:7" x14ac:dyDescent="0.25">
      <c r="B55" s="5" t="s">
        <v>307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308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283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279</v>
      </c>
      <c r="B61" s="5" t="s">
        <v>310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311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121</v>
      </c>
      <c r="B63" s="11" t="s">
        <v>312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313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5">
      <c r="B67" s="11" t="s">
        <v>314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3H1JWijD519nisUrG7KY68MVhShYgYmbvk+wYEL4XIOWZ+WNLRvy/R5h8mM05cvuOHyIPHiZU5tRg4XgaDK/JQ==" saltValue="Wek9n3z5Wk/rTHD/KKEb/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E28" sqref="E28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5">
      <c r="A2" s="5" t="s">
        <v>168</v>
      </c>
      <c r="B2" s="5" t="s">
        <v>317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180</v>
      </c>
      <c r="B4" s="5" t="s">
        <v>317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181</v>
      </c>
      <c r="B6" s="5" t="s">
        <v>317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190</v>
      </c>
      <c r="B12" s="5" t="s">
        <v>317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5">
      <c r="A17" s="5" t="s">
        <v>168</v>
      </c>
      <c r="B17" s="5" t="s">
        <v>317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318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180</v>
      </c>
      <c r="B19" s="5" t="s">
        <v>317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318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181</v>
      </c>
      <c r="B21" s="5" t="s">
        <v>317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318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182</v>
      </c>
      <c r="B23" s="5" t="s">
        <v>317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318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186</v>
      </c>
      <c r="B25" s="5" t="s">
        <v>317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318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190</v>
      </c>
      <c r="B27" s="5" t="s">
        <v>317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318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5">
      <c r="A32" s="5" t="s">
        <v>168</v>
      </c>
      <c r="B32" s="5" t="s">
        <v>317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318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180</v>
      </c>
      <c r="B34" s="5" t="s">
        <v>317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318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181</v>
      </c>
      <c r="B36" s="5" t="s">
        <v>317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318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182</v>
      </c>
      <c r="B38" s="5" t="s">
        <v>317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318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186</v>
      </c>
      <c r="B40" s="5" t="s">
        <v>317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318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190</v>
      </c>
      <c r="B42" s="5" t="s">
        <v>317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318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hc8swzVMH5VgBzf+FqS2kxKzYdPweHmR0CytWAgsd1wH11WkB5tb4ZrwndWrxJuZFGM2sk2q3TWMpFP/mThS0Q==" saltValue="c0cnTgoqGL3BVaDwSvH4T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8" zoomScale="70" zoomScaleNormal="70" workbookViewId="0">
      <selection activeCell="E28" sqref="E28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ht="13" customHeight="1" x14ac:dyDescent="0.3">
      <c r="A2" s="4" t="s">
        <v>319</v>
      </c>
    </row>
    <row r="3" spans="1:15" x14ac:dyDescent="0.25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205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320</v>
      </c>
      <c r="B17" s="11"/>
    </row>
    <row r="18" spans="1:15" x14ac:dyDescent="0.25">
      <c r="B18" s="5" t="s">
        <v>173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174</v>
      </c>
      <c r="C19" s="90">
        <v>1</v>
      </c>
      <c r="D19" s="90">
        <v>1</v>
      </c>
      <c r="E19" s="90">
        <f>IF(ISBLANK('Dist. de l''état nutritionnel'!E$14),0.72,(0.72*'Dist. de l''état nutritionnel'!E$14/(1-0.72*'Dist. de l''état nutritionnel'!E$14))
/ ('Dist. de l''état nutritionnel'!E$14/(1-'Dist. de l''état nutritionnel'!E$14)))</f>
        <v>0.57677689135396715</v>
      </c>
      <c r="F19" s="90">
        <f>IF(ISBLANK('Dist. de l''état nutritionnel'!F$14),0.72,(0.72*'Dist. de l''état nutritionnel'!F$14/(1-0.72*'Dist. de l''état nutritionnel'!F$14))
/ ('Dist. de l''état nutritionnel'!F$14/(1-'Dist. de l''état nutritionnel'!F$14)))</f>
        <v>0.66988603596410923</v>
      </c>
      <c r="G19" s="90">
        <f>IF(ISBLANK('Dist. de l''état nutritionnel'!G$14),0.72,(0.72*'Dist. de l''état nutritionnel'!G$14/(1-0.72*'Dist. de l''état nutritionnel'!G$14))
/ ('Dist. de l''état nutritionnel'!G$14/(1-'Dist. de l''état nutritionnel'!G$14)))</f>
        <v>0.66988603596410923</v>
      </c>
      <c r="H19" s="90">
        <f>IF(ISBLANK('Dist. de l''état nutritionnel'!H$14),0.72,(0.72*'Dist. de l''état nutritionnel'!H$14/(1-0.72*'Dist. de l''état nutritionnel'!H$14))
/ ('Dist. de l''état nutritionnel'!H$14/(1-'Dist. de l''état nutritionnel'!H$14)))</f>
        <v>0.64513839602555012</v>
      </c>
      <c r="I19" s="90">
        <f>IF(ISBLANK('Dist. de l''état nutritionnel'!I$14),0.72,(0.72*'Dist. de l''état nutritionnel'!I$14/(1-0.72*'Dist. de l''état nutritionnel'!I$14))
/ ('Dist. de l''état nutritionnel'!I$14/(1-'Dist. de l''état nutritionnel'!I$14)))</f>
        <v>0.64513839602555012</v>
      </c>
      <c r="J19" s="90">
        <f>IF(ISBLANK('Dist. de l''état nutritionnel'!J$14),0.72,(0.72*'Dist. de l''état nutritionnel'!J$14/(1-0.72*'Dist. de l''état nutritionnel'!J$14))
/ ('Dist. de l''état nutritionnel'!J$14/(1-'Dist. de l''état nutritionnel'!J$14)))</f>
        <v>0.64513839602555012</v>
      </c>
      <c r="K19" s="90">
        <f>IF(ISBLANK('Dist. de l''état nutritionnel'!K$14),0.72,(0.72*'Dist. de l''état nutritionnel'!K$14/(1-0.72*'Dist. de l''état nutritionnel'!K$14))
/ ('Dist. de l''état nutritionnel'!K$14/(1-'Dist. de l''état nutritionnel'!K$14)))</f>
        <v>0.64513839602555012</v>
      </c>
      <c r="L19" s="90">
        <f>IF(ISBLANK('Dist. de l''état nutritionnel'!L$14),0.72,(0.72*'Dist. de l''état nutritionnel'!L$14/(1-0.72*'Dist. de l''état nutritionnel'!L$14))
/ ('Dist. de l''état nutritionnel'!L$14/(1-'Dist. de l''état nutritionnel'!L$14)))</f>
        <v>0.65853658536585358</v>
      </c>
      <c r="M19" s="90">
        <f>IF(ISBLANK('Dist. de l''état nutritionnel'!M$14),0.72,(0.72*'Dist. de l''état nutritionnel'!M$14/(1-0.72*'Dist. de l''état nutritionnel'!M$14))
/ ('Dist. de l''état nutritionnel'!M$14/(1-'Dist. de l''état nutritionnel'!M$14)))</f>
        <v>0.65853658536585358</v>
      </c>
      <c r="N19" s="90">
        <f>IF(ISBLANK('Dist. de l''état nutritionnel'!N$14),0.72,(0.72*'Dist. de l''état nutritionnel'!N$14/(1-0.72*'Dist. de l''état nutritionnel'!N$14))
/ ('Dist. de l''état nutritionnel'!N$14/(1-'Dist. de l''état nutritionnel'!N$14)))</f>
        <v>0.65853658536585358</v>
      </c>
      <c r="O19" s="90">
        <f>IF(ISBLANK('Dist. de l''état nutritionnel'!O$14),0.72,(0.72*'Dist. de l''état nutritionnel'!O$14/(1-0.72*'Dist. de l''état nutritionnel'!O$14))
/ ('Dist. de l''état nutritionnel'!O$14/(1-'Dist. de l''état nutritionnel'!O$14)))</f>
        <v>0.65853658536585358</v>
      </c>
    </row>
    <row r="20" spans="1:15" x14ac:dyDescent="0.25">
      <c r="B20" s="5" t="s">
        <v>175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183</v>
      </c>
      <c r="C21" s="90">
        <v>1</v>
      </c>
      <c r="D21" s="90">
        <v>1</v>
      </c>
      <c r="E21" s="90">
        <f>IF(ISBLANK('Dist. de l''état nutritionnel'!E$14),0.8,(0.8*'Dist. de l''état nutritionnel'!E$14/(1-0.8*'Dist. de l''état nutritionnel'!E$14))
/ ('Dist. de l''état nutritionnel'!E$14/(1-'Dist. de l''état nutritionnel'!E$14)))</f>
        <v>0.67948123429924179</v>
      </c>
      <c r="F21" s="90">
        <f>IF(ISBLANK('Dist. de l''état nutritionnel'!F$14),0.8,(0.8*'Dist. de l''état nutritionnel'!F$14/(1-0.8*'Dist. de l''état nutritionnel'!F$14))
/ ('Dist. de l''état nutritionnel'!F$14/(1-'Dist. de l''état nutritionnel'!F$14)))</f>
        <v>0.75942001913758039</v>
      </c>
      <c r="G21" s="90">
        <f>IF(ISBLANK('Dist. de l''état nutritionnel'!G$14),0.8,(0.8*'Dist. de l''état nutritionnel'!G$14/(1-0.8*'Dist. de l''état nutritionnel'!G$14))
/ ('Dist. de l''état nutritionnel'!G$14/(1-'Dist. de l''état nutritionnel'!G$14)))</f>
        <v>0.75942001913758039</v>
      </c>
      <c r="H21" s="90">
        <f>IF(ISBLANK('Dist. de l''état nutritionnel'!H$14),0.8,(0.8*'Dist. de l''état nutritionnel'!H$14/(1-0.8*'Dist. de l''état nutritionnel'!H$14))
/ ('Dist. de l''état nutritionnel'!H$14/(1-'Dist. de l''état nutritionnel'!H$14)))</f>
        <v>0.7387669801462905</v>
      </c>
      <c r="I21" s="90">
        <f>IF(ISBLANK('Dist. de l''état nutritionnel'!I$14),0.8,(0.8*'Dist. de l''état nutritionnel'!I$14/(1-0.8*'Dist. de l''état nutritionnel'!I$14))
/ ('Dist. de l''état nutritionnel'!I$14/(1-'Dist. de l''état nutritionnel'!I$14)))</f>
        <v>0.7387669801462905</v>
      </c>
      <c r="J21" s="90">
        <f>IF(ISBLANK('Dist. de l''état nutritionnel'!J$14),0.8,(0.8*'Dist. de l''état nutritionnel'!J$14/(1-0.8*'Dist. de l''état nutritionnel'!J$14))
/ ('Dist. de l''état nutritionnel'!J$14/(1-'Dist. de l''état nutritionnel'!J$14)))</f>
        <v>0.7387669801462905</v>
      </c>
      <c r="K21" s="90">
        <f>IF(ISBLANK('Dist. de l''état nutritionnel'!K$14),0.8,(0.8*'Dist. de l''état nutritionnel'!K$14/(1-0.8*'Dist. de l''état nutritionnel'!K$14))
/ ('Dist. de l''état nutritionnel'!K$14/(1-'Dist. de l''état nutritionnel'!K$14)))</f>
        <v>0.7387669801462905</v>
      </c>
      <c r="L21" s="90">
        <f>IF(ISBLANK('Dist. de l''état nutritionnel'!L$14),0.8,(0.8*'Dist. de l''état nutritionnel'!L$14/(1-0.8*'Dist. de l''état nutritionnel'!L$14))
/ ('Dist. de l''état nutritionnel'!L$14/(1-'Dist. de l''état nutritionnel'!L$14)))</f>
        <v>0.75</v>
      </c>
      <c r="M21" s="90">
        <f>IF(ISBLANK('Dist. de l''état nutritionnel'!M$14),0.8,(0.8*'Dist. de l''état nutritionnel'!M$14/(1-0.8*'Dist. de l''état nutritionnel'!M$14))
/ ('Dist. de l''état nutritionnel'!M$14/(1-'Dist. de l''état nutritionnel'!M$14)))</f>
        <v>0.75</v>
      </c>
      <c r="N21" s="90">
        <f>IF(ISBLANK('Dist. de l''état nutritionnel'!N$14),0.8,(0.8*'Dist. de l''état nutritionnel'!N$14/(1-0.8*'Dist. de l''état nutritionnel'!N$14))
/ ('Dist. de l''état nutritionnel'!N$14/(1-'Dist. de l''état nutritionnel'!N$14)))</f>
        <v>0.75</v>
      </c>
      <c r="O21" s="90">
        <f>IF(ISBLANK('Dist. de l''état nutritionnel'!O$14),0.8,(0.8*'Dist. de l''état nutritionnel'!O$14/(1-0.8*'Dist. de l''état nutritionnel'!O$14))
/ ('Dist. de l''état nutritionnel'!O$14/(1-'Dist. de l''état nutritionnel'!O$14)))</f>
        <v>0.75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ht="13" customHeight="1" x14ac:dyDescent="0.3">
      <c r="A25" s="4" t="s">
        <v>321</v>
      </c>
    </row>
    <row r="26" spans="1:15" x14ac:dyDescent="0.25">
      <c r="B26" s="11" t="s">
        <v>171</v>
      </c>
      <c r="C26" s="90">
        <v>0.4</v>
      </c>
      <c r="D26" s="90">
        <v>0.4</v>
      </c>
      <c r="E26" s="90">
        <f t="shared" ref="E26:O26" si="0">IF(E3=1,1,E3*0.9)</f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176</v>
      </c>
      <c r="C27" s="90">
        <f t="shared" ref="C27:G33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2">IF(L4=1,1,L4*0.9)</f>
        <v>1</v>
      </c>
      <c r="M27" s="90">
        <f t="shared" si="2"/>
        <v>1</v>
      </c>
      <c r="N27" s="90">
        <f t="shared" si="2"/>
        <v>1</v>
      </c>
      <c r="O27" s="90">
        <f t="shared" si="2"/>
        <v>1</v>
      </c>
    </row>
    <row r="28" spans="1:15" x14ac:dyDescent="0.25">
      <c r="B28" s="11" t="s">
        <v>177</v>
      </c>
      <c r="C28" s="90">
        <f t="shared" si="1"/>
        <v>1</v>
      </c>
      <c r="D28" s="90">
        <f t="shared" si="1"/>
        <v>1</v>
      </c>
      <c r="E28" s="90">
        <f t="shared" si="1"/>
        <v>1</v>
      </c>
      <c r="F28" s="90">
        <f t="shared" si="1"/>
        <v>1</v>
      </c>
      <c r="G28" s="90">
        <f t="shared" si="1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178</v>
      </c>
      <c r="C29" s="90">
        <f t="shared" si="1"/>
        <v>1</v>
      </c>
      <c r="D29" s="90">
        <f t="shared" si="1"/>
        <v>1</v>
      </c>
      <c r="E29" s="90">
        <f t="shared" si="1"/>
        <v>1</v>
      </c>
      <c r="F29" s="90">
        <f t="shared" si="1"/>
        <v>1</v>
      </c>
      <c r="G29" s="90">
        <f t="shared" si="1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2"/>
        <v>1</v>
      </c>
      <c r="M29" s="90">
        <f t="shared" si="2"/>
        <v>1</v>
      </c>
      <c r="N29" s="90">
        <f t="shared" si="2"/>
        <v>1</v>
      </c>
      <c r="O29" s="90">
        <f t="shared" si="2"/>
        <v>1</v>
      </c>
    </row>
    <row r="30" spans="1:15" x14ac:dyDescent="0.25">
      <c r="B30" s="11" t="s">
        <v>179</v>
      </c>
      <c r="C30" s="90">
        <f t="shared" si="1"/>
        <v>1</v>
      </c>
      <c r="D30" s="90">
        <f t="shared" si="1"/>
        <v>1</v>
      </c>
      <c r="E30" s="90">
        <f t="shared" si="1"/>
        <v>1</v>
      </c>
      <c r="F30" s="90">
        <f t="shared" si="1"/>
        <v>1</v>
      </c>
      <c r="G30" s="90">
        <f t="shared" si="1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2"/>
        <v>1</v>
      </c>
      <c r="M30" s="90">
        <f t="shared" si="2"/>
        <v>1</v>
      </c>
      <c r="N30" s="90">
        <f t="shared" si="2"/>
        <v>1</v>
      </c>
      <c r="O30" s="90">
        <f t="shared" si="2"/>
        <v>1</v>
      </c>
    </row>
    <row r="31" spans="1:15" x14ac:dyDescent="0.25">
      <c r="B31" s="5" t="s">
        <v>180</v>
      </c>
      <c r="C31" s="90">
        <f t="shared" si="1"/>
        <v>1</v>
      </c>
      <c r="D31" s="90">
        <f t="shared" si="1"/>
        <v>1</v>
      </c>
      <c r="E31" s="90">
        <f t="shared" si="1"/>
        <v>1</v>
      </c>
      <c r="F31" s="90">
        <f t="shared" si="1"/>
        <v>1</v>
      </c>
      <c r="G31" s="90">
        <f t="shared" si="1"/>
        <v>1</v>
      </c>
      <c r="H31" s="90">
        <f t="shared" ref="H31:K34" si="3">IF(H8=1,1,H8*0.9)</f>
        <v>1</v>
      </c>
      <c r="I31" s="90">
        <f t="shared" si="3"/>
        <v>1</v>
      </c>
      <c r="J31" s="90">
        <f t="shared" si="3"/>
        <v>1</v>
      </c>
      <c r="K31" s="90">
        <f t="shared" si="3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181</v>
      </c>
      <c r="C32" s="90">
        <f t="shared" si="1"/>
        <v>1</v>
      </c>
      <c r="D32" s="90">
        <f t="shared" si="1"/>
        <v>1</v>
      </c>
      <c r="E32" s="90">
        <f t="shared" si="1"/>
        <v>1</v>
      </c>
      <c r="F32" s="90">
        <f t="shared" si="1"/>
        <v>1</v>
      </c>
      <c r="G32" s="90">
        <f t="shared" si="1"/>
        <v>1</v>
      </c>
      <c r="H32" s="90">
        <f t="shared" si="3"/>
        <v>1</v>
      </c>
      <c r="I32" s="90">
        <f t="shared" si="3"/>
        <v>1</v>
      </c>
      <c r="J32" s="90">
        <f t="shared" si="3"/>
        <v>1</v>
      </c>
      <c r="K32" s="90">
        <f t="shared" si="3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182</v>
      </c>
      <c r="C33" s="90">
        <f t="shared" si="1"/>
        <v>1</v>
      </c>
      <c r="D33" s="90">
        <f t="shared" si="1"/>
        <v>1</v>
      </c>
      <c r="E33" s="90">
        <f t="shared" si="1"/>
        <v>1</v>
      </c>
      <c r="F33" s="90">
        <f t="shared" si="1"/>
        <v>1</v>
      </c>
      <c r="G33" s="90">
        <f t="shared" si="1"/>
        <v>1</v>
      </c>
      <c r="H33" s="90">
        <f t="shared" si="3"/>
        <v>1</v>
      </c>
      <c r="I33" s="90">
        <f t="shared" si="3"/>
        <v>1</v>
      </c>
      <c r="J33" s="90">
        <f t="shared" si="3"/>
        <v>1</v>
      </c>
      <c r="K33" s="90">
        <f t="shared" si="3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185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3"/>
        <v>1</v>
      </c>
      <c r="I34" s="90">
        <f t="shared" si="3"/>
        <v>1</v>
      </c>
      <c r="J34" s="90">
        <f t="shared" si="3"/>
        <v>1</v>
      </c>
      <c r="K34" s="90">
        <f t="shared" si="3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186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189</v>
      </c>
      <c r="C36" s="90">
        <f t="shared" ref="C36:D38" si="4">IF(C13=1,1,C13*0.9)</f>
        <v>1</v>
      </c>
      <c r="D36" s="90">
        <f t="shared" si="4"/>
        <v>1</v>
      </c>
      <c r="E36" s="90">
        <v>0.62</v>
      </c>
      <c r="F36" s="90">
        <v>0.62</v>
      </c>
      <c r="G36" s="90">
        <v>0.62</v>
      </c>
      <c r="H36" s="90">
        <f t="shared" ref="H36:O36" si="5">IF(H13=1,1,H13*0.9)</f>
        <v>1</v>
      </c>
      <c r="I36" s="90">
        <f t="shared" si="5"/>
        <v>1</v>
      </c>
      <c r="J36" s="90">
        <f t="shared" si="5"/>
        <v>1</v>
      </c>
      <c r="K36" s="90">
        <f t="shared" si="5"/>
        <v>1</v>
      </c>
      <c r="L36" s="90">
        <f t="shared" si="5"/>
        <v>1</v>
      </c>
      <c r="M36" s="90">
        <f t="shared" si="5"/>
        <v>1</v>
      </c>
      <c r="N36" s="90">
        <f t="shared" si="5"/>
        <v>1</v>
      </c>
      <c r="O36" s="90">
        <f t="shared" si="5"/>
        <v>1</v>
      </c>
    </row>
    <row r="37" spans="1:15" x14ac:dyDescent="0.25">
      <c r="B37" s="11" t="s">
        <v>190</v>
      </c>
      <c r="C37" s="90">
        <f t="shared" si="4"/>
        <v>1</v>
      </c>
      <c r="D37" s="90">
        <f t="shared" si="4"/>
        <v>1</v>
      </c>
      <c r="E37" s="90">
        <f t="shared" ref="E37:K37" si="6">IF(E14=1,1,E14*0.9)</f>
        <v>1</v>
      </c>
      <c r="F37" s="90">
        <f t="shared" si="6"/>
        <v>1</v>
      </c>
      <c r="G37" s="90">
        <f t="shared" si="6"/>
        <v>1</v>
      </c>
      <c r="H37" s="90">
        <f t="shared" si="6"/>
        <v>1</v>
      </c>
      <c r="I37" s="90">
        <f t="shared" si="6"/>
        <v>1</v>
      </c>
      <c r="J37" s="90">
        <f t="shared" si="6"/>
        <v>1</v>
      </c>
      <c r="K37" s="90">
        <f t="shared" si="6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205</v>
      </c>
      <c r="C38" s="90">
        <f t="shared" si="4"/>
        <v>1</v>
      </c>
      <c r="D38" s="90">
        <f t="shared" si="4"/>
        <v>1</v>
      </c>
      <c r="E38" s="90">
        <v>0.3</v>
      </c>
      <c r="F38" s="90">
        <v>0.3</v>
      </c>
      <c r="G38" s="90">
        <f t="shared" ref="G38:O38" si="7">IF(G15=1,1,G15*0.9)</f>
        <v>1</v>
      </c>
      <c r="H38" s="90">
        <f t="shared" si="7"/>
        <v>1</v>
      </c>
      <c r="I38" s="90">
        <f t="shared" si="7"/>
        <v>1</v>
      </c>
      <c r="J38" s="90">
        <f t="shared" si="7"/>
        <v>1</v>
      </c>
      <c r="K38" s="90">
        <f t="shared" si="7"/>
        <v>1</v>
      </c>
      <c r="L38" s="90">
        <f t="shared" si="7"/>
        <v>1</v>
      </c>
      <c r="M38" s="90">
        <f t="shared" si="7"/>
        <v>1</v>
      </c>
      <c r="N38" s="90">
        <f t="shared" si="7"/>
        <v>1</v>
      </c>
      <c r="O38" s="90">
        <f t="shared" si="7"/>
        <v>1</v>
      </c>
    </row>
    <row r="40" spans="1:15" ht="13" customHeight="1" x14ac:dyDescent="0.3">
      <c r="A40" s="4" t="s">
        <v>323</v>
      </c>
      <c r="B40" s="11"/>
    </row>
    <row r="41" spans="1:15" x14ac:dyDescent="0.25">
      <c r="B41" s="5" t="s">
        <v>173</v>
      </c>
      <c r="C41" s="90">
        <f t="shared" ref="C41:O41" si="8">IF(C18=1,1,C18*0.9)</f>
        <v>1</v>
      </c>
      <c r="D41" s="90">
        <f t="shared" si="8"/>
        <v>1</v>
      </c>
      <c r="E41" s="90">
        <f t="shared" si="8"/>
        <v>1</v>
      </c>
      <c r="F41" s="90">
        <f t="shared" si="8"/>
        <v>1</v>
      </c>
      <c r="G41" s="90">
        <f t="shared" si="8"/>
        <v>1</v>
      </c>
      <c r="H41" s="90">
        <f t="shared" si="8"/>
        <v>1</v>
      </c>
      <c r="I41" s="90">
        <f t="shared" si="8"/>
        <v>1</v>
      </c>
      <c r="J41" s="90">
        <f t="shared" si="8"/>
        <v>1</v>
      </c>
      <c r="K41" s="90">
        <f t="shared" si="8"/>
        <v>1</v>
      </c>
      <c r="L41" s="90">
        <f t="shared" si="8"/>
        <v>1</v>
      </c>
      <c r="M41" s="90">
        <f t="shared" si="8"/>
        <v>1</v>
      </c>
      <c r="N41" s="90">
        <f t="shared" si="8"/>
        <v>1</v>
      </c>
      <c r="O41" s="90">
        <f t="shared" si="8"/>
        <v>1</v>
      </c>
    </row>
    <row r="42" spans="1:15" x14ac:dyDescent="0.25">
      <c r="B42" s="5" t="s">
        <v>174</v>
      </c>
      <c r="C42" s="90">
        <f t="shared" ref="C42:D44" si="9">IF(C19=1,1,C19*0.9)</f>
        <v>1</v>
      </c>
      <c r="D42" s="90">
        <f t="shared" si="9"/>
        <v>1</v>
      </c>
      <c r="E42" s="90">
        <f>IF(ISBLANK('Dist. de l''état nutritionnel'!E$14),0.54,(0.54*'Dist. de l''état nutritionnel'!E$14/(1-0.54*'Dist. de l''état nutritionnel'!E$14))
/ ('Dist. de l''état nutritionnel'!E$14/(1-'Dist. de l''état nutritionnel'!E$14)))</f>
        <v>0.38353683163430152</v>
      </c>
      <c r="F42" s="90">
        <f>IF(ISBLANK('Dist. de l''état nutritionnel'!F$14),0.54,(0.54*'Dist. de l''état nutritionnel'!F$14/(1-0.54*'Dist. de l''état nutritionnel'!F$14))
/ ('Dist. de l''état nutritionnel'!F$14/(1-'Dist. de l''état nutritionnel'!F$14)))</f>
        <v>0.48089697884555127</v>
      </c>
      <c r="G42" s="90">
        <f>IF(ISBLANK('Dist. de l''état nutritionnel'!G$14),0.54,(0.54*'Dist. de l''état nutritionnel'!G$14/(1-0.54*'Dist. de l''état nutritionnel'!G$14))
/ ('Dist. de l''état nutritionnel'!G$14/(1-'Dist. de l''état nutritionnel'!G$14)))</f>
        <v>0.48089697884555127</v>
      </c>
      <c r="H42" s="90">
        <f>IF(ISBLANK('Dist. de l''état nutritionnel'!H$14),0.54,(0.54*'Dist. de l''état nutritionnel'!H$14/(1-0.54*'Dist. de l''état nutritionnel'!H$14))
/ ('Dist. de l''état nutritionnel'!H$14/(1-'Dist. de l''état nutritionnel'!H$14)))</f>
        <v>0.45353892941148527</v>
      </c>
      <c r="I42" s="90">
        <f>IF(ISBLANK('Dist. de l''état nutritionnel'!I$14),0.54,(0.54*'Dist. de l''état nutritionnel'!I$14/(1-0.54*'Dist. de l''état nutritionnel'!I$14))
/ ('Dist. de l''état nutritionnel'!I$14/(1-'Dist. de l''état nutritionnel'!I$14)))</f>
        <v>0.45353892941148527</v>
      </c>
      <c r="J42" s="90">
        <f>IF(ISBLANK('Dist. de l''état nutritionnel'!J$14),0.54,(0.54*'Dist. de l''état nutritionnel'!J$14/(1-0.54*'Dist. de l''état nutritionnel'!J$14))
/ ('Dist. de l''état nutritionnel'!J$14/(1-'Dist. de l''état nutritionnel'!J$14)))</f>
        <v>0.45353892941148527</v>
      </c>
      <c r="K42" s="90">
        <f>IF(ISBLANK('Dist. de l''état nutritionnel'!K$14),0.54,(0.54*'Dist. de l''état nutritionnel'!K$14/(1-0.54*'Dist. de l''état nutritionnel'!K$14))
/ ('Dist. de l''état nutritionnel'!K$14/(1-'Dist. de l''état nutritionnel'!K$14)))</f>
        <v>0.45353892941148527</v>
      </c>
      <c r="L42" s="90">
        <f>IF(ISBLANK('Dist. de l''état nutritionnel'!L$14),0.54,(0.54*'Dist. de l''état nutritionnel'!L$14/(1-0.54*'Dist. de l''état nutritionnel'!L$14))
/ ('Dist. de l''état nutritionnel'!L$14/(1-'Dist. de l''état nutritionnel'!L$14)))</f>
        <v>0.46820809248554918</v>
      </c>
      <c r="M42" s="90">
        <f>IF(ISBLANK('Dist. de l''état nutritionnel'!M$14),0.54,(0.54*'Dist. de l''état nutritionnel'!M$14/(1-0.54*'Dist. de l''état nutritionnel'!M$14))
/ ('Dist. de l''état nutritionnel'!M$14/(1-'Dist. de l''état nutritionnel'!M$14)))</f>
        <v>0.46820809248554918</v>
      </c>
      <c r="N42" s="90">
        <f>IF(ISBLANK('Dist. de l''état nutritionnel'!N$14),0.54,(0.54*'Dist. de l''état nutritionnel'!N$14/(1-0.54*'Dist. de l''état nutritionnel'!N$14))
/ ('Dist. de l''état nutritionnel'!N$14/(1-'Dist. de l''état nutritionnel'!N$14)))</f>
        <v>0.46820809248554918</v>
      </c>
      <c r="O42" s="90">
        <f>IF(ISBLANK('Dist. de l''état nutritionnel'!O$14),0.54,(0.54*'Dist. de l''état nutritionnel'!O$14/(1-0.54*'Dist. de l''état nutritionnel'!O$14))
/ ('Dist. de l''état nutritionnel'!O$14/(1-'Dist. de l''état nutritionnel'!O$14)))</f>
        <v>0.46820809248554918</v>
      </c>
    </row>
    <row r="43" spans="1:15" x14ac:dyDescent="0.25">
      <c r="B43" s="5" t="s">
        <v>175</v>
      </c>
      <c r="C43" s="90">
        <f t="shared" si="9"/>
        <v>1</v>
      </c>
      <c r="D43" s="90">
        <f t="shared" si="9"/>
        <v>1</v>
      </c>
      <c r="E43" s="90">
        <f t="shared" ref="E43:O43" si="10">IF(E20=1,1,E20*0.9)</f>
        <v>1</v>
      </c>
      <c r="F43" s="90">
        <f t="shared" si="10"/>
        <v>1</v>
      </c>
      <c r="G43" s="90">
        <f t="shared" si="10"/>
        <v>1</v>
      </c>
      <c r="H43" s="90">
        <f t="shared" si="10"/>
        <v>1</v>
      </c>
      <c r="I43" s="90">
        <f t="shared" si="10"/>
        <v>1</v>
      </c>
      <c r="J43" s="90">
        <f t="shared" si="10"/>
        <v>1</v>
      </c>
      <c r="K43" s="90">
        <f t="shared" si="10"/>
        <v>1</v>
      </c>
      <c r="L43" s="90">
        <f t="shared" si="10"/>
        <v>1</v>
      </c>
      <c r="M43" s="90">
        <f t="shared" si="10"/>
        <v>1</v>
      </c>
      <c r="N43" s="90">
        <f t="shared" si="10"/>
        <v>1</v>
      </c>
      <c r="O43" s="90">
        <f t="shared" si="10"/>
        <v>1</v>
      </c>
    </row>
    <row r="44" spans="1:15" x14ac:dyDescent="0.25">
      <c r="B44" s="5" t="s">
        <v>183</v>
      </c>
      <c r="C44" s="90">
        <f t="shared" si="9"/>
        <v>1</v>
      </c>
      <c r="D44" s="90">
        <f t="shared" si="9"/>
        <v>1</v>
      </c>
      <c r="E44" s="90">
        <f>IF(ISBLANK('Dist. de l''état nutritionnel'!E$14),0.7,(0.7*'Dist. de l''état nutritionnel'!E$14/(1-0.7*'Dist. de l''état nutritionnel'!E$14))
/ ('Dist. de l''état nutritionnel'!E$14/(1-'Dist. de l''état nutritionnel'!E$14)))</f>
        <v>0.55289936208948542</v>
      </c>
      <c r="F44" s="90">
        <f>IF(ISBLANK('Dist. de l''état nutritionnel'!F$14),0.7,(0.7*'Dist. de l''état nutritionnel'!F$14/(1-0.7*'Dist. de l''état nutritionnel'!F$14))
/ ('Dist. de l''état nutritionnel'!F$14/(1-'Dist. de l''état nutritionnel'!F$14)))</f>
        <v>0.64805619914593604</v>
      </c>
      <c r="G44" s="90">
        <f>IF(ISBLANK('Dist. de l''état nutritionnel'!G$14),0.7,(0.7*'Dist. de l''état nutritionnel'!G$14/(1-0.7*'Dist. de l''état nutritionnel'!G$14))
/ ('Dist. de l''état nutritionnel'!G$14/(1-'Dist. de l''état nutritionnel'!G$14)))</f>
        <v>0.64805619914593604</v>
      </c>
      <c r="H44" s="90">
        <f>IF(ISBLANK('Dist. de l''état nutritionnel'!H$14),0.7,(0.7*'Dist. de l''état nutritionnel'!H$14/(1-0.7*'Dist. de l''état nutritionnel'!H$14))
/ ('Dist. de l''état nutritionnel'!H$14/(1-'Dist. de l''état nutritionnel'!H$14)))</f>
        <v>0.6225940369857843</v>
      </c>
      <c r="I44" s="90">
        <f>IF(ISBLANK('Dist. de l''état nutritionnel'!I$14),0.7,(0.7*'Dist. de l''état nutritionnel'!I$14/(1-0.7*'Dist. de l''état nutritionnel'!I$14))
/ ('Dist. de l''état nutritionnel'!I$14/(1-'Dist. de l''état nutritionnel'!I$14)))</f>
        <v>0.6225940369857843</v>
      </c>
      <c r="J44" s="90">
        <f>IF(ISBLANK('Dist. de l''état nutritionnel'!J$14),0.7,(0.7*'Dist. de l''état nutritionnel'!J$14/(1-0.7*'Dist. de l''état nutritionnel'!J$14))
/ ('Dist. de l''état nutritionnel'!J$14/(1-'Dist. de l''état nutritionnel'!J$14)))</f>
        <v>0.6225940369857843</v>
      </c>
      <c r="K44" s="90">
        <f>IF(ISBLANK('Dist. de l''état nutritionnel'!K$14),0.7,(0.7*'Dist. de l''état nutritionnel'!K$14/(1-0.7*'Dist. de l''état nutritionnel'!K$14))
/ ('Dist. de l''état nutritionnel'!K$14/(1-'Dist. de l''état nutritionnel'!K$14)))</f>
        <v>0.6225940369857843</v>
      </c>
      <c r="L44" s="90">
        <f>IF(ISBLANK('Dist. de l''état nutritionnel'!L$14),0.7,(0.7*'Dist. de l''état nutritionnel'!L$14/(1-0.7*'Dist. de l''état nutritionnel'!L$14))
/ ('Dist. de l''état nutritionnel'!L$14/(1-'Dist. de l''état nutritionnel'!L$14)))</f>
        <v>0.63636363636363646</v>
      </c>
      <c r="M44" s="90">
        <f>IF(ISBLANK('Dist. de l''état nutritionnel'!M$14),0.7,(0.7*'Dist. de l''état nutritionnel'!M$14/(1-0.7*'Dist. de l''état nutritionnel'!M$14))
/ ('Dist. de l''état nutritionnel'!M$14/(1-'Dist. de l''état nutritionnel'!M$14)))</f>
        <v>0.63636363636363646</v>
      </c>
      <c r="N44" s="90">
        <f>IF(ISBLANK('Dist. de l''état nutritionnel'!N$14),0.7,(0.7*'Dist. de l''état nutritionnel'!N$14/(1-0.7*'Dist. de l''état nutritionnel'!N$14))
/ ('Dist. de l''état nutritionnel'!N$14/(1-'Dist. de l''état nutritionnel'!N$14)))</f>
        <v>0.63636363636363646</v>
      </c>
      <c r="O44" s="90">
        <f>IF(ISBLANK('Dist. de l''état nutritionnel'!O$14),0.7,(0.7*'Dist. de l''état nutritionnel'!O$14/(1-0.7*'Dist. de l''état nutritionnel'!O$14))
/ ('Dist. de l''état nutritionnel'!O$14/(1-'Dist. de l''état nutritionnel'!O$14)))</f>
        <v>0.63636363636363646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ht="13" customHeight="1" x14ac:dyDescent="0.3">
      <c r="A48" s="4" t="s">
        <v>322</v>
      </c>
    </row>
    <row r="49" spans="1:15" x14ac:dyDescent="0.25">
      <c r="B49" s="11" t="s">
        <v>171</v>
      </c>
      <c r="C49" s="90">
        <v>0.7</v>
      </c>
      <c r="D49" s="90">
        <v>0.7</v>
      </c>
      <c r="E49" s="90">
        <f t="shared" ref="E49:O49" si="11">IF(E3=1,1,E3*1.05)</f>
        <v>1</v>
      </c>
      <c r="F49" s="90">
        <f t="shared" si="11"/>
        <v>1</v>
      </c>
      <c r="G49" s="90">
        <f t="shared" si="11"/>
        <v>1</v>
      </c>
      <c r="H49" s="90">
        <f t="shared" si="11"/>
        <v>1</v>
      </c>
      <c r="I49" s="90">
        <f t="shared" si="11"/>
        <v>1</v>
      </c>
      <c r="J49" s="90">
        <f t="shared" si="11"/>
        <v>1</v>
      </c>
      <c r="K49" s="90">
        <f t="shared" si="11"/>
        <v>1</v>
      </c>
      <c r="L49" s="90">
        <f t="shared" si="11"/>
        <v>1</v>
      </c>
      <c r="M49" s="90">
        <f t="shared" si="11"/>
        <v>1</v>
      </c>
      <c r="N49" s="90">
        <f t="shared" si="11"/>
        <v>1</v>
      </c>
      <c r="O49" s="90">
        <f t="shared" si="11"/>
        <v>1</v>
      </c>
    </row>
    <row r="50" spans="1:15" x14ac:dyDescent="0.25">
      <c r="B50" s="11" t="s">
        <v>176</v>
      </c>
      <c r="C50" s="90">
        <f t="shared" ref="C50:G56" si="12">IF(C4=1,1,C4*1.05)</f>
        <v>1</v>
      </c>
      <c r="D50" s="90">
        <f t="shared" si="12"/>
        <v>1</v>
      </c>
      <c r="E50" s="90">
        <f t="shared" si="12"/>
        <v>1</v>
      </c>
      <c r="F50" s="90">
        <f t="shared" si="12"/>
        <v>1</v>
      </c>
      <c r="G50" s="90">
        <f t="shared" si="12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3">IF(L4=1,1,L4*1.05)</f>
        <v>1</v>
      </c>
      <c r="M50" s="90">
        <f t="shared" si="13"/>
        <v>1</v>
      </c>
      <c r="N50" s="90">
        <f t="shared" si="13"/>
        <v>1</v>
      </c>
      <c r="O50" s="90">
        <f t="shared" si="13"/>
        <v>1</v>
      </c>
    </row>
    <row r="51" spans="1:15" x14ac:dyDescent="0.25">
      <c r="B51" s="11" t="s">
        <v>177</v>
      </c>
      <c r="C51" s="90">
        <f t="shared" si="12"/>
        <v>1</v>
      </c>
      <c r="D51" s="90">
        <f t="shared" si="12"/>
        <v>1</v>
      </c>
      <c r="E51" s="90">
        <f t="shared" si="12"/>
        <v>1</v>
      </c>
      <c r="F51" s="90">
        <f t="shared" si="12"/>
        <v>1</v>
      </c>
      <c r="G51" s="90">
        <f t="shared" si="12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3"/>
        <v>1</v>
      </c>
      <c r="M51" s="90">
        <f t="shared" si="13"/>
        <v>1</v>
      </c>
      <c r="N51" s="90">
        <f t="shared" si="13"/>
        <v>1</v>
      </c>
      <c r="O51" s="90">
        <f t="shared" si="13"/>
        <v>1</v>
      </c>
    </row>
    <row r="52" spans="1:15" x14ac:dyDescent="0.25">
      <c r="B52" s="11" t="s">
        <v>178</v>
      </c>
      <c r="C52" s="90">
        <f t="shared" si="12"/>
        <v>1</v>
      </c>
      <c r="D52" s="90">
        <f t="shared" si="12"/>
        <v>1</v>
      </c>
      <c r="E52" s="90">
        <f t="shared" si="12"/>
        <v>1</v>
      </c>
      <c r="F52" s="90">
        <f t="shared" si="12"/>
        <v>1</v>
      </c>
      <c r="G52" s="90">
        <f t="shared" si="12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3"/>
        <v>1</v>
      </c>
      <c r="M52" s="90">
        <f t="shared" si="13"/>
        <v>1</v>
      </c>
      <c r="N52" s="90">
        <f t="shared" si="13"/>
        <v>1</v>
      </c>
      <c r="O52" s="90">
        <f t="shared" si="13"/>
        <v>1</v>
      </c>
    </row>
    <row r="53" spans="1:15" x14ac:dyDescent="0.25">
      <c r="B53" s="11" t="s">
        <v>179</v>
      </c>
      <c r="C53" s="90">
        <f t="shared" si="12"/>
        <v>1</v>
      </c>
      <c r="D53" s="90">
        <f t="shared" si="12"/>
        <v>1</v>
      </c>
      <c r="E53" s="90">
        <f t="shared" si="12"/>
        <v>1</v>
      </c>
      <c r="F53" s="90">
        <f t="shared" si="12"/>
        <v>1</v>
      </c>
      <c r="G53" s="90">
        <f t="shared" si="12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3"/>
        <v>1</v>
      </c>
      <c r="M53" s="90">
        <f t="shared" si="13"/>
        <v>1</v>
      </c>
      <c r="N53" s="90">
        <f t="shared" si="13"/>
        <v>1</v>
      </c>
      <c r="O53" s="90">
        <f t="shared" si="13"/>
        <v>1</v>
      </c>
    </row>
    <row r="54" spans="1:15" x14ac:dyDescent="0.25">
      <c r="B54" s="5" t="s">
        <v>180</v>
      </c>
      <c r="C54" s="90">
        <f t="shared" si="12"/>
        <v>1</v>
      </c>
      <c r="D54" s="90">
        <f t="shared" si="12"/>
        <v>1</v>
      </c>
      <c r="E54" s="90">
        <f t="shared" si="12"/>
        <v>1</v>
      </c>
      <c r="F54" s="90">
        <f t="shared" si="12"/>
        <v>1</v>
      </c>
      <c r="G54" s="90">
        <f t="shared" si="12"/>
        <v>1</v>
      </c>
      <c r="H54" s="90">
        <f t="shared" ref="H54:K57" si="14">IF(H8=1,1,H8*1.05)</f>
        <v>1</v>
      </c>
      <c r="I54" s="90">
        <f t="shared" si="14"/>
        <v>1</v>
      </c>
      <c r="J54" s="90">
        <f t="shared" si="14"/>
        <v>1</v>
      </c>
      <c r="K54" s="90">
        <f t="shared" si="14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181</v>
      </c>
      <c r="C55" s="90">
        <f t="shared" si="12"/>
        <v>1</v>
      </c>
      <c r="D55" s="90">
        <f t="shared" si="12"/>
        <v>1</v>
      </c>
      <c r="E55" s="90">
        <f t="shared" si="12"/>
        <v>1</v>
      </c>
      <c r="F55" s="90">
        <f t="shared" si="12"/>
        <v>1</v>
      </c>
      <c r="G55" s="90">
        <f t="shared" si="12"/>
        <v>1</v>
      </c>
      <c r="H55" s="90">
        <f t="shared" si="14"/>
        <v>1</v>
      </c>
      <c r="I55" s="90">
        <f t="shared" si="14"/>
        <v>1</v>
      </c>
      <c r="J55" s="90">
        <f t="shared" si="14"/>
        <v>1</v>
      </c>
      <c r="K55" s="90">
        <f t="shared" si="14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182</v>
      </c>
      <c r="C56" s="90">
        <f t="shared" si="12"/>
        <v>1</v>
      </c>
      <c r="D56" s="90">
        <f t="shared" si="12"/>
        <v>1</v>
      </c>
      <c r="E56" s="90">
        <f t="shared" si="12"/>
        <v>1</v>
      </c>
      <c r="F56" s="90">
        <f t="shared" si="12"/>
        <v>1</v>
      </c>
      <c r="G56" s="90">
        <f t="shared" si="12"/>
        <v>1</v>
      </c>
      <c r="H56" s="90">
        <f t="shared" si="14"/>
        <v>1</v>
      </c>
      <c r="I56" s="90">
        <f t="shared" si="14"/>
        <v>1</v>
      </c>
      <c r="J56" s="90">
        <f t="shared" si="14"/>
        <v>1</v>
      </c>
      <c r="K56" s="90">
        <f t="shared" si="14"/>
        <v>1</v>
      </c>
      <c r="L56" s="90">
        <v>0.93</v>
      </c>
      <c r="M56" s="90">
        <v>0.93</v>
      </c>
      <c r="N56" s="90">
        <v>0.93</v>
      </c>
      <c r="O56" s="90">
        <v>0.93</v>
      </c>
    </row>
    <row r="57" spans="1:15" x14ac:dyDescent="0.25">
      <c r="B57" s="5" t="s">
        <v>185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4"/>
        <v>1</v>
      </c>
      <c r="I57" s="90">
        <f t="shared" si="14"/>
        <v>1</v>
      </c>
      <c r="J57" s="90">
        <f t="shared" si="14"/>
        <v>1</v>
      </c>
      <c r="K57" s="90">
        <f t="shared" si="14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186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189</v>
      </c>
      <c r="C59" s="90">
        <f t="shared" ref="C59:D61" si="15">IF(C13=1,1,C13*1.05)</f>
        <v>1</v>
      </c>
      <c r="D59" s="90">
        <f t="shared" si="15"/>
        <v>1</v>
      </c>
      <c r="E59" s="90">
        <v>0.77</v>
      </c>
      <c r="F59" s="90">
        <v>0.77</v>
      </c>
      <c r="G59" s="90">
        <v>0.77</v>
      </c>
      <c r="H59" s="90">
        <f t="shared" ref="H59:O59" si="16">IF(H13=1,1,H13*1.05)</f>
        <v>1</v>
      </c>
      <c r="I59" s="90">
        <f t="shared" si="16"/>
        <v>1</v>
      </c>
      <c r="J59" s="90">
        <f t="shared" si="16"/>
        <v>1</v>
      </c>
      <c r="K59" s="90">
        <f t="shared" si="16"/>
        <v>1</v>
      </c>
      <c r="L59" s="90">
        <f t="shared" si="16"/>
        <v>1</v>
      </c>
      <c r="M59" s="90">
        <f t="shared" si="16"/>
        <v>1</v>
      </c>
      <c r="N59" s="90">
        <f t="shared" si="16"/>
        <v>1</v>
      </c>
      <c r="O59" s="90">
        <f t="shared" si="16"/>
        <v>1</v>
      </c>
    </row>
    <row r="60" spans="1:15" x14ac:dyDescent="0.25">
      <c r="B60" s="11" t="s">
        <v>190</v>
      </c>
      <c r="C60" s="90">
        <f t="shared" si="15"/>
        <v>1</v>
      </c>
      <c r="D60" s="90">
        <f t="shared" si="15"/>
        <v>1</v>
      </c>
      <c r="E60" s="90">
        <f t="shared" ref="E60:K60" si="17">IF(E14=1,1,E14*1.05)</f>
        <v>1</v>
      </c>
      <c r="F60" s="90">
        <f t="shared" si="17"/>
        <v>1</v>
      </c>
      <c r="G60" s="90">
        <f t="shared" si="17"/>
        <v>1</v>
      </c>
      <c r="H60" s="90">
        <f t="shared" si="17"/>
        <v>1</v>
      </c>
      <c r="I60" s="90">
        <f t="shared" si="17"/>
        <v>1</v>
      </c>
      <c r="J60" s="90">
        <f t="shared" si="17"/>
        <v>1</v>
      </c>
      <c r="K60" s="90">
        <f t="shared" si="17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205</v>
      </c>
      <c r="C61" s="90">
        <f t="shared" si="15"/>
        <v>1</v>
      </c>
      <c r="D61" s="90">
        <f t="shared" si="15"/>
        <v>1</v>
      </c>
      <c r="E61" s="90">
        <v>0.44</v>
      </c>
      <c r="F61" s="90">
        <v>0.44</v>
      </c>
      <c r="G61" s="90">
        <f t="shared" ref="G61:O61" si="18">IF(G15=1,1,G15*1.05)</f>
        <v>1</v>
      </c>
      <c r="H61" s="90">
        <f t="shared" si="18"/>
        <v>1</v>
      </c>
      <c r="I61" s="90">
        <f t="shared" si="18"/>
        <v>1</v>
      </c>
      <c r="J61" s="90">
        <f t="shared" si="18"/>
        <v>1</v>
      </c>
      <c r="K61" s="90">
        <f t="shared" si="18"/>
        <v>1</v>
      </c>
      <c r="L61" s="90">
        <f t="shared" si="18"/>
        <v>1</v>
      </c>
      <c r="M61" s="90">
        <f t="shared" si="18"/>
        <v>1</v>
      </c>
      <c r="N61" s="90">
        <f t="shared" si="18"/>
        <v>1</v>
      </c>
      <c r="O61" s="90">
        <f t="shared" si="18"/>
        <v>1</v>
      </c>
    </row>
    <row r="63" spans="1:15" ht="13" customHeight="1" x14ac:dyDescent="0.3">
      <c r="A63" s="4" t="s">
        <v>324</v>
      </c>
      <c r="B63" s="11"/>
    </row>
    <row r="64" spans="1:15" x14ac:dyDescent="0.25">
      <c r="B64" s="5" t="s">
        <v>173</v>
      </c>
      <c r="C64" s="90">
        <f t="shared" ref="C64:O64" si="19">IF(C18=1,1,C18*1.05)</f>
        <v>1</v>
      </c>
      <c r="D64" s="90">
        <f t="shared" si="19"/>
        <v>1</v>
      </c>
      <c r="E64" s="90">
        <f t="shared" si="19"/>
        <v>1</v>
      </c>
      <c r="F64" s="90">
        <f t="shared" si="19"/>
        <v>1</v>
      </c>
      <c r="G64" s="90">
        <f t="shared" si="19"/>
        <v>1</v>
      </c>
      <c r="H64" s="90">
        <f t="shared" si="19"/>
        <v>1</v>
      </c>
      <c r="I64" s="90">
        <f t="shared" si="19"/>
        <v>1</v>
      </c>
      <c r="J64" s="90">
        <f t="shared" si="19"/>
        <v>1</v>
      </c>
      <c r="K64" s="90">
        <f t="shared" si="19"/>
        <v>1</v>
      </c>
      <c r="L64" s="90">
        <f t="shared" si="19"/>
        <v>1</v>
      </c>
      <c r="M64" s="90">
        <f t="shared" si="19"/>
        <v>1</v>
      </c>
      <c r="N64" s="90">
        <f t="shared" si="19"/>
        <v>1</v>
      </c>
      <c r="O64" s="90">
        <f t="shared" si="19"/>
        <v>1</v>
      </c>
    </row>
    <row r="65" spans="2:15" x14ac:dyDescent="0.25">
      <c r="B65" s="5" t="s">
        <v>174</v>
      </c>
      <c r="C65" s="90">
        <f t="shared" ref="C65:D67" si="20">IF(C19=1,1,C19*1.05)</f>
        <v>1</v>
      </c>
      <c r="D65" s="90">
        <f t="shared" si="20"/>
        <v>1</v>
      </c>
      <c r="E65" s="90">
        <f>IF(ISBLANK('Dist. de l''état nutritionnel'!E$14),0.97,(0.97*'Dist. de l''état nutritionnel'!E$14/(1-0.97*'Dist. de l''état nutritionnel'!E$14))
/ ('Dist. de l''état nutritionnel'!E$14/(1-'Dist. de l''état nutritionnel'!E$14)))</f>
        <v>0.94486165446392167</v>
      </c>
      <c r="F65" s="90">
        <f>IF(ISBLANK('Dist. de l''état nutritionnel'!F$14),0.97,(0.97*'Dist. de l''état nutritionnel'!F$14/(1-0.97*'Dist. de l''état nutritionnel'!F$14))
/ ('Dist. de l''état nutritionnel'!F$14/(1-'Dist. de l''état nutritionnel'!F$14)))</f>
        <v>0.96228695872145609</v>
      </c>
      <c r="G65" s="90">
        <f>IF(ISBLANK('Dist. de l''état nutritionnel'!G$14),0.97,(0.97*'Dist. de l''état nutritionnel'!G$14/(1-0.97*'Dist. de l''état nutritionnel'!G$14))
/ ('Dist. de l''état nutritionnel'!G$14/(1-'Dist. de l''état nutritionnel'!G$14)))</f>
        <v>0.96228695872145609</v>
      </c>
      <c r="H65" s="90">
        <f>IF(ISBLANK('Dist. de l''état nutritionnel'!H$14),0.97,(0.97*'Dist. de l''état nutritionnel'!H$14/(1-0.97*'Dist. de l''état nutritionnel'!H$14))
/ ('Dist. de l''état nutritionnel'!H$14/(1-'Dist. de l''état nutritionnel'!H$14)))</f>
        <v>0.95808826611156894</v>
      </c>
      <c r="I65" s="90">
        <f>IF(ISBLANK('Dist. de l''état nutritionnel'!I$14),0.97,(0.97*'Dist. de l''état nutritionnel'!I$14/(1-0.97*'Dist. de l''état nutritionnel'!I$14))
/ ('Dist. de l''état nutritionnel'!I$14/(1-'Dist. de l''état nutritionnel'!I$14)))</f>
        <v>0.95808826611156894</v>
      </c>
      <c r="J65" s="90">
        <f>IF(ISBLANK('Dist. de l''état nutritionnel'!J$14),0.97,(0.97*'Dist. de l''état nutritionnel'!J$14/(1-0.97*'Dist. de l''état nutritionnel'!J$14))
/ ('Dist. de l''état nutritionnel'!J$14/(1-'Dist. de l''état nutritionnel'!J$14)))</f>
        <v>0.95808826611156894</v>
      </c>
      <c r="K65" s="90">
        <f>IF(ISBLANK('Dist. de l''état nutritionnel'!K$14),0.97,(0.97*'Dist. de l''état nutritionnel'!K$14/(1-0.97*'Dist. de l''état nutritionnel'!K$14))
/ ('Dist. de l''état nutritionnel'!K$14/(1-'Dist. de l''état nutritionnel'!K$14)))</f>
        <v>0.95808826611156894</v>
      </c>
      <c r="L65" s="90">
        <f>IF(ISBLANK('Dist. de l''état nutritionnel'!L$14),0.97,(0.97*'Dist. de l''état nutritionnel'!L$14/(1-0.97*'Dist. de l''état nutritionnel'!L$14))
/ ('Dist. de l''état nutritionnel'!L$14/(1-'Dist. de l''état nutritionnel'!L$14)))</f>
        <v>0.96039603960396036</v>
      </c>
      <c r="M65" s="90">
        <f>IF(ISBLANK('Dist. de l''état nutritionnel'!M$14),0.97,(0.97*'Dist. de l''état nutritionnel'!M$14/(1-0.97*'Dist. de l''état nutritionnel'!M$14))
/ ('Dist. de l''état nutritionnel'!M$14/(1-'Dist. de l''état nutritionnel'!M$14)))</f>
        <v>0.96039603960396036</v>
      </c>
      <c r="N65" s="90">
        <f>IF(ISBLANK('Dist. de l''état nutritionnel'!N$14),0.97,(0.97*'Dist. de l''état nutritionnel'!N$14/(1-0.97*'Dist. de l''état nutritionnel'!N$14))
/ ('Dist. de l''état nutritionnel'!N$14/(1-'Dist. de l''état nutritionnel'!N$14)))</f>
        <v>0.96039603960396036</v>
      </c>
      <c r="O65" s="90">
        <f>IF(ISBLANK('Dist. de l''état nutritionnel'!O$14),0.97,(0.97*'Dist. de l''état nutritionnel'!O$14/(1-0.97*'Dist. de l''état nutritionnel'!O$14))
/ ('Dist. de l''état nutritionnel'!O$14/(1-'Dist. de l''état nutritionnel'!O$14)))</f>
        <v>0.96039603960396036</v>
      </c>
    </row>
    <row r="66" spans="2:15" x14ac:dyDescent="0.25">
      <c r="B66" s="5" t="s">
        <v>175</v>
      </c>
      <c r="C66" s="90">
        <f t="shared" si="20"/>
        <v>1</v>
      </c>
      <c r="D66" s="90">
        <f t="shared" si="20"/>
        <v>1</v>
      </c>
      <c r="E66" s="90">
        <f t="shared" ref="E66:O66" si="21">IF(E20=1,1,E20*1.05)</f>
        <v>1</v>
      </c>
      <c r="F66" s="90">
        <f t="shared" si="21"/>
        <v>1</v>
      </c>
      <c r="G66" s="90">
        <f t="shared" si="21"/>
        <v>1</v>
      </c>
      <c r="H66" s="90">
        <f t="shared" si="21"/>
        <v>1</v>
      </c>
      <c r="I66" s="90">
        <f t="shared" si="21"/>
        <v>1</v>
      </c>
      <c r="J66" s="90">
        <f t="shared" si="21"/>
        <v>1</v>
      </c>
      <c r="K66" s="90">
        <f t="shared" si="21"/>
        <v>1</v>
      </c>
      <c r="L66" s="90">
        <f t="shared" si="21"/>
        <v>1</v>
      </c>
      <c r="M66" s="90">
        <f t="shared" si="21"/>
        <v>1</v>
      </c>
      <c r="N66" s="90">
        <f t="shared" si="21"/>
        <v>1</v>
      </c>
      <c r="O66" s="90">
        <f t="shared" si="21"/>
        <v>1</v>
      </c>
    </row>
    <row r="67" spans="2:15" x14ac:dyDescent="0.25">
      <c r="B67" s="5" t="s">
        <v>183</v>
      </c>
      <c r="C67" s="90">
        <f t="shared" si="20"/>
        <v>1</v>
      </c>
      <c r="D67" s="90">
        <f t="shared" si="20"/>
        <v>1</v>
      </c>
      <c r="E67" s="90">
        <f>IF(ISBLANK('Dist. de l''état nutritionnel'!E$14),0.92,(0.92*'Dist. de l''état nutritionnel'!E$14/(1-0.92*'Dist. de l''état nutritionnel'!E$14))
/ ('Dist. de l''état nutritionnel'!E$14/(1-'Dist. de l''état nutritionnel'!E$14)))</f>
        <v>0.85905236771623372</v>
      </c>
      <c r="F67" s="90">
        <f>IF(ISBLANK('Dist. de l''état nutritionnel'!F$14),0.92,(0.92*'Dist. de l''état nutritionnel'!F$14/(1-0.92*'Dist. de l''état nutritionnel'!F$14))
/ ('Dist. de l''état nutritionnel'!F$14/(1-'Dist. de l''état nutritionnel'!F$14)))</f>
        <v>0.90074725168464753</v>
      </c>
      <c r="G67" s="90">
        <f>IF(ISBLANK('Dist. de l''état nutritionnel'!G$14),0.92,(0.92*'Dist. de l''état nutritionnel'!G$14/(1-0.92*'Dist. de l''état nutritionnel'!G$14))
/ ('Dist. de l''état nutritionnel'!G$14/(1-'Dist. de l''état nutritionnel'!G$14)))</f>
        <v>0.90074725168464753</v>
      </c>
      <c r="H67" s="90">
        <f>IF(ISBLANK('Dist. de l''état nutritionnel'!H$14),0.92,(0.92*'Dist. de l''état nutritionnel'!H$14/(1-0.92*'Dist. de l''état nutritionnel'!H$14))
/ ('Dist. de l''état nutritionnel'!H$14/(1-'Dist. de l''état nutritionnel'!H$14)))</f>
        <v>0.890476972783528</v>
      </c>
      <c r="I67" s="90">
        <f>IF(ISBLANK('Dist. de l''état nutritionnel'!I$14),0.92,(0.92*'Dist. de l''état nutritionnel'!I$14/(1-0.92*'Dist. de l''état nutritionnel'!I$14))
/ ('Dist. de l''état nutritionnel'!I$14/(1-'Dist. de l''état nutritionnel'!I$14)))</f>
        <v>0.890476972783528</v>
      </c>
      <c r="J67" s="90">
        <f>IF(ISBLANK('Dist. de l''état nutritionnel'!J$14),0.92,(0.92*'Dist. de l''état nutritionnel'!J$14/(1-0.92*'Dist. de l''état nutritionnel'!J$14))
/ ('Dist. de l''état nutritionnel'!J$14/(1-'Dist. de l''état nutritionnel'!J$14)))</f>
        <v>0.890476972783528</v>
      </c>
      <c r="K67" s="90">
        <f>IF(ISBLANK('Dist. de l''état nutritionnel'!K$14),0.92,(0.92*'Dist. de l''état nutritionnel'!K$14/(1-0.92*'Dist. de l''état nutritionnel'!K$14))
/ ('Dist. de l''état nutritionnel'!K$14/(1-'Dist. de l''état nutritionnel'!K$14)))</f>
        <v>0.890476972783528</v>
      </c>
      <c r="L67" s="90">
        <f>IF(ISBLANK('Dist. de l''état nutritionnel'!L$14),0.92,(0.92*'Dist. de l''état nutritionnel'!L$14/(1-0.92*'Dist. de l''état nutritionnel'!L$14))
/ ('Dist. de l''état nutritionnel'!L$14/(1-'Dist. de l''état nutritionnel'!L$14)))</f>
        <v>0.89610389610389607</v>
      </c>
      <c r="M67" s="90">
        <f>IF(ISBLANK('Dist. de l''état nutritionnel'!M$14),0.92,(0.92*'Dist. de l''état nutritionnel'!M$14/(1-0.92*'Dist. de l''état nutritionnel'!M$14))
/ ('Dist. de l''état nutritionnel'!M$14/(1-'Dist. de l''état nutritionnel'!M$14)))</f>
        <v>0.89610389610389607</v>
      </c>
      <c r="N67" s="90">
        <f>IF(ISBLANK('Dist. de l''état nutritionnel'!N$14),0.92,(0.92*'Dist. de l''état nutritionnel'!N$14/(1-0.92*'Dist. de l''état nutritionnel'!N$14))
/ ('Dist. de l''état nutritionnel'!N$14/(1-'Dist. de l''état nutritionnel'!N$14)))</f>
        <v>0.89610389610389607</v>
      </c>
      <c r="O67" s="90">
        <f>IF(ISBLANK('Dist. de l''état nutritionnel'!O$14),0.92,(0.92*'Dist. de l''état nutritionnel'!O$14/(1-0.92*'Dist. de l''état nutritionnel'!O$14))
/ ('Dist. de l''état nutritionnel'!O$14/(1-'Dist. de l''état nutritionnel'!O$14)))</f>
        <v>0.89610389610389607</v>
      </c>
    </row>
  </sheetData>
  <sheetProtection algorithmName="SHA-512" hashValue="AG6J2Yn5uY372/KZTBfdOVnY2ZcKwxm5zQsNpdRdbz4PIdsJYpz8PwP+boPPHUDF6gWcOWY8LC1cIvH7/+i6Jw==" saltValue="w/Rvt2m/V/pnsEAwjHc6t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ht="13" customHeight="1" x14ac:dyDescent="0.3">
      <c r="A2" s="4" t="s">
        <v>325</v>
      </c>
    </row>
    <row r="3" spans="1:7" ht="13.25" customHeight="1" x14ac:dyDescent="0.25">
      <c r="B3" s="11" t="s">
        <v>161</v>
      </c>
      <c r="C3" s="90">
        <v>1</v>
      </c>
      <c r="D3" s="90">
        <f>IF(ISBLANK('Dist. de l''état nutritionnel'!D$11),(1/1.33),((1/1.33)*'Dist. de l''état nutritionnel'!D$11/(1-(1/1.33)*'Dist. de l''état nutritionnel'!D$11))
/ ('Dist. de l''état nutritionnel'!D$11/(1-'Dist. de l''état nutritionnel'!D$11)))</f>
        <v>0.74309928935954928</v>
      </c>
      <c r="E3" s="90">
        <f>IF(ISBLANK('Dist. de l''état nutritionnel'!E$11),(1/1.33),((1/1.33)*'Dist. de l''état nutritionnel'!E$11/(1-(1/1.33)*'Dist. de l''état nutritionnel'!E$11))
/ ('Dist. de l''état nutritionnel'!E$11/(1-'Dist. de l''état nutritionnel'!E$11)))</f>
        <v>0.74363730620381896</v>
      </c>
      <c r="F3" s="90">
        <f>IF(ISBLANK('Dist. de l''état nutritionnel'!F$11),(1/1.33),((1/1.33)*'Dist. de l''état nutritionnel'!F$11/(1-(1/1.33)*'Dist. de l''état nutritionnel'!F$11))
/ ('Dist. de l''état nutritionnel'!F$11/(1-'Dist. de l''état nutritionnel'!F$11)))</f>
        <v>0.74571470242844295</v>
      </c>
      <c r="G3" s="90">
        <f>IF(ISBLANK('Dist. de l''état nutritionnel'!G$11),(1/1.33),((1/1.33)*'Dist. de l''état nutritionnel'!G$11/(1-(1/1.33)*'Dist. de l''état nutritionnel'!G$11))
/ ('Dist. de l''état nutritionnel'!G$11/(1-'Dist. de l''état nutritionnel'!G$11)))</f>
        <v>0.74839995174356588</v>
      </c>
    </row>
    <row r="4" spans="1:7" ht="13" customHeight="1" x14ac:dyDescent="0.3">
      <c r="A4" s="4" t="s">
        <v>326</v>
      </c>
      <c r="B4" s="11"/>
      <c r="C4" s="83"/>
      <c r="D4" s="83"/>
      <c r="E4" s="83"/>
      <c r="F4" s="83"/>
      <c r="G4" s="83"/>
    </row>
    <row r="5" spans="1:7" ht="13.25" customHeight="1" x14ac:dyDescent="0.25">
      <c r="B5" s="5" t="s">
        <v>165</v>
      </c>
      <c r="C5" s="90">
        <v>1</v>
      </c>
      <c r="D5" s="90">
        <f>IF(ISBLANK('Dist. de l''état nutritionnel'!D$10),(1/1.33),((1/1.33)*'Dist. de l''état nutritionnel'!D$10/(1-(1/1.33)*'Dist. de l''état nutritionnel'!D$10))
/ ('Dist. de l''état nutritionnel'!D$10/(1-'Dist. de l''état nutritionnel'!D$10)))</f>
        <v>0.73972181961562777</v>
      </c>
      <c r="E5" s="90">
        <f>IF(ISBLANK('Dist. de l''état nutritionnel'!E$10),(1/1.33),((1/1.33)*'Dist. de l''état nutritionnel'!E$10/(1-(1/1.33)*'Dist. de l''état nutritionnel'!E$10))
/ ('Dist. de l''état nutritionnel'!E$10/(1-'Dist. de l''état nutritionnel'!E$10)))</f>
        <v>0.73701884182723476</v>
      </c>
      <c r="F5" s="90">
        <f>IF(ISBLANK('Dist. de l''état nutritionnel'!F$10),(1/1.33),((1/1.33)*'Dist. de l''état nutritionnel'!F$10/(1-(1/1.33)*'Dist. de l''état nutritionnel'!F$10))
/ ('Dist. de l''état nutritionnel'!F$10/(1-'Dist. de l''état nutritionnel'!F$10)))</f>
        <v>0.73969017418977179</v>
      </c>
      <c r="G5" s="90">
        <f>IF(ISBLANK('Dist. de l''état nutritionnel'!G$10),(1/1.33),((1/1.33)*'Dist. de l''état nutritionnel'!G$10/(1-(1/1.33)*'Dist. de l''état nutritionnel'!G$10))
/ ('Dist. de l''état nutritionnel'!G$10/(1-'Dist. de l''état nutritionnel'!G$10)))</f>
        <v>0.7453411564465402</v>
      </c>
    </row>
    <row r="7" spans="1:7" s="92" customFormat="1" ht="13" customHeight="1" x14ac:dyDescent="0.3">
      <c r="A7" s="92" t="s">
        <v>331</v>
      </c>
    </row>
    <row r="8" spans="1:7" ht="13" customHeight="1" x14ac:dyDescent="0.3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ht="13" customHeight="1" x14ac:dyDescent="0.3">
      <c r="A9" s="4" t="s">
        <v>327</v>
      </c>
    </row>
    <row r="10" spans="1:7" ht="13.25" customHeight="1" x14ac:dyDescent="0.25">
      <c r="B10" s="11" t="s">
        <v>161</v>
      </c>
      <c r="C10" s="90">
        <v>1</v>
      </c>
      <c r="D10" s="90">
        <f>IF(ISBLANK('Dist. de l''état nutritionnel'!D$11),(1/1.54),((1/1.54)*'Dist. de l''état nutritionnel'!D$11/(1-(1/1.54)*'Dist. de l''état nutritionnel'!D$11))
/ ('Dist. de l''état nutritionnel'!D$11/(1-'Dist. de l''état nutritionnel'!D$11)))</f>
        <v>0.63868552900187037</v>
      </c>
      <c r="E10" s="90">
        <f>IF(ISBLANK('Dist. de l''état nutritionnel'!E$11),(1/1.54),((1/1.54)*'Dist. de l''état nutritionnel'!E$11/(1-(1/1.54)*'Dist. de l''état nutritionnel'!E$11))
/ ('Dist. de l''état nutritionnel'!E$11/(1-'Dist. de l''état nutritionnel'!E$11)))</f>
        <v>0.63933608392923691</v>
      </c>
      <c r="F10" s="90">
        <f>IF(ISBLANK('Dist. de l''état nutritionnel'!F$11),(1/1.54),((1/1.54)*'Dist. de l''état nutritionnel'!F$11/(1-(1/1.54)*'Dist. de l''état nutritionnel'!F$11))
/ ('Dist. de l''état nutritionnel'!F$11/(1-'Dist. de l''état nutritionnel'!F$11)))</f>
        <v>0.64185161181482375</v>
      </c>
      <c r="G10" s="90">
        <f>IF(ISBLANK('Dist. de l''état nutritionnel'!G$11),(1/1.54),((1/1.54)*'Dist. de l''état nutritionnel'!G$11/(1-(1/1.54)*'Dist. de l''état nutritionnel'!G$11))
/ ('Dist. de l''état nutritionnel'!G$11/(1-'Dist. de l''état nutritionnel'!G$11)))</f>
        <v>0.64511168630408566</v>
      </c>
    </row>
    <row r="11" spans="1:7" ht="13" customHeight="1" x14ac:dyDescent="0.3">
      <c r="A11" s="4" t="s">
        <v>328</v>
      </c>
      <c r="B11" s="11"/>
      <c r="C11" s="83"/>
      <c r="D11" s="83"/>
      <c r="E11" s="83"/>
      <c r="F11" s="83"/>
      <c r="G11" s="83"/>
    </row>
    <row r="12" spans="1:7" ht="13.25" customHeight="1" x14ac:dyDescent="0.25">
      <c r="B12" s="5" t="s">
        <v>165</v>
      </c>
      <c r="C12" s="90">
        <v>1</v>
      </c>
      <c r="D12" s="90">
        <f>IF(ISBLANK('Dist. de l''état nutritionnel'!D$10),(1/1.54),((1/1.54)*'Dist. de l''état nutritionnel'!D$10/(1-(1/1.54)*'Dist. de l''état nutritionnel'!D$10))
/ ('Dist. de l''état nutritionnel'!D$10/(1-'Dist. de l''état nutritionnel'!D$10)))</f>
        <v>0.63461031690941627</v>
      </c>
      <c r="E12" s="90">
        <f>IF(ISBLANK('Dist. de l''état nutritionnel'!E$10),(1/1.54),((1/1.54)*'Dist. de l''état nutritionnel'!E$10/(1-(1/1.54)*'Dist. de l''état nutritionnel'!E$10))
/ ('Dist. de l''état nutritionnel'!E$10/(1-'Dist. de l''état nutritionnel'!E$10)))</f>
        <v>0.63135974860982214</v>
      </c>
      <c r="F12" s="90">
        <f>IF(ISBLANK('Dist. de l''état nutritionnel'!F$10),(1/1.54),((1/1.54)*'Dist. de l''état nutritionnel'!F$10/(1-(1/1.54)*'Dist. de l''état nutritionnel'!F$10))
/ ('Dist. de l''état nutritionnel'!F$10/(1-'Dist. de l''état nutritionnel'!F$10)))</f>
        <v>0.6345722050042546</v>
      </c>
      <c r="G12" s="90">
        <f>IF(ISBLANK('Dist. de l''état nutritionnel'!G$10),(1/1.54),((1/1.54)*'Dist. de l''état nutritionnel'!G$10/(1-(1/1.54)*'Dist. de l''état nutritionnel'!G$10))
/ ('Dist. de l''état nutritionnel'!G$10/(1-'Dist. de l''état nutritionnel'!G$10)))</f>
        <v>0.64139886135365076</v>
      </c>
    </row>
    <row r="14" spans="1:7" s="92" customFormat="1" ht="13" customHeight="1" x14ac:dyDescent="0.3">
      <c r="A14" s="92" t="s">
        <v>332</v>
      </c>
    </row>
    <row r="15" spans="1:7" ht="13" customHeight="1" x14ac:dyDescent="0.3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ht="13" customHeight="1" x14ac:dyDescent="0.3">
      <c r="A16" s="4" t="s">
        <v>329</v>
      </c>
    </row>
    <row r="17" spans="1:7" ht="13.25" customHeight="1" x14ac:dyDescent="0.25">
      <c r="B17" s="11" t="s">
        <v>161</v>
      </c>
      <c r="C17" s="90">
        <v>1</v>
      </c>
      <c r="D17" s="90">
        <f>IF(ISBLANK('Dist. de l''état nutritionnel'!D$11),(1/1.16),((1/1.16)*'Dist. de l''état nutritionnel'!D$11/(1-(1/1.16)*'Dist. de l''état nutritionnel'!D$11))
/ ('Dist. de l''état nutritionnel'!D$11/(1-'Dist. de l''état nutritionnel'!D$11)))</f>
        <v>0.856443398473131</v>
      </c>
      <c r="E17" s="90">
        <f>IF(ISBLANK('Dist. de l''état nutritionnel'!E$11),(1/1.16),((1/1.16)*'Dist. de l''état nutritionnel'!E$11/(1-(1/1.16)*'Dist. de l''état nutritionnel'!E$11))
/ ('Dist. de l''état nutritionnel'!E$11/(1-'Dist. de l''état nutritionnel'!E$11)))</f>
        <v>0.85678978967218999</v>
      </c>
      <c r="F17" s="90">
        <f>IF(ISBLANK('Dist. de l''état nutritionnel'!F$11),(1/1.16),((1/1.16)*'Dist. de l''état nutritionnel'!F$11/(1-(1/1.16)*'Dist. de l''état nutritionnel'!F$11))
/ ('Dist. de l''état nutritionnel'!F$11/(1-'Dist. de l''état nutritionnel'!F$11)))</f>
        <v>0.85812520527753644</v>
      </c>
      <c r="G17" s="90">
        <f>IF(ISBLANK('Dist. de l''état nutritionnel'!G$11),(1/1.16),((1/1.16)*'Dist. de l''état nutritionnel'!G$11/(1-(1/1.16)*'Dist. de l''état nutritionnel'!G$11))
/ ('Dist. de l''état nutritionnel'!G$11/(1-'Dist. de l''état nutritionnel'!G$11)))</f>
        <v>0.85984650218365977</v>
      </c>
    </row>
    <row r="18" spans="1:7" ht="13" customHeight="1" x14ac:dyDescent="0.3">
      <c r="A18" s="4" t="s">
        <v>330</v>
      </c>
      <c r="B18" s="11"/>
      <c r="C18" s="83"/>
      <c r="D18" s="83"/>
      <c r="E18" s="83"/>
      <c r="F18" s="83"/>
      <c r="G18" s="83"/>
    </row>
    <row r="19" spans="1:7" ht="13.25" customHeight="1" x14ac:dyDescent="0.25">
      <c r="B19" s="5" t="s">
        <v>165</v>
      </c>
      <c r="C19" s="90">
        <v>1</v>
      </c>
      <c r="D19" s="90">
        <f>IF(ISBLANK('Dist. de l''état nutritionnel'!D$10),(1/1.16),((1/1.16)*'Dist. de l''état nutritionnel'!D$10/(1-(1/1.16)*'Dist. de l''état nutritionnel'!D$10))
/ ('Dist. de l''état nutritionnel'!D$10/(1-'Dist. de l''état nutritionnel'!D$10)))</f>
        <v>0.85426381797581519</v>
      </c>
      <c r="E19" s="90">
        <f>IF(ISBLANK('Dist. de l''état nutritionnel'!E$10),(1/1.16),((1/1.16)*'Dist. de l''état nutritionnel'!E$10/(1-(1/1.16)*'Dist. de l''état nutritionnel'!E$10))
/ ('Dist. de l''état nutritionnel'!E$10/(1-'Dist. de l''état nutritionnel'!E$10)))</f>
        <v>0.85251318696391798</v>
      </c>
      <c r="F19" s="90">
        <f>IF(ISBLANK('Dist. de l''état nutritionnel'!F$10),(1/1.16),((1/1.16)*'Dist. de l''état nutritionnel'!F$10/(1-(1/1.16)*'Dist. de l''état nutritionnel'!F$10))
/ ('Dist. de l''état nutritionnel'!F$10/(1-'Dist. de l''état nutritionnel'!F$10)))</f>
        <v>0.85424335483326486</v>
      </c>
      <c r="G19" s="90">
        <f>IF(ISBLANK('Dist. de l''état nutritionnel'!G$10),(1/1.16),((1/1.16)*'Dist. de l''état nutritionnel'!G$10/(1-(1/1.16)*'Dist. de l''état nutritionnel'!G$10))
/ ('Dist. de l''état nutritionnel'!G$10/(1-'Dist. de l''état nutritionnel'!G$10)))</f>
        <v>0.85788532077122226</v>
      </c>
    </row>
  </sheetData>
  <sheetProtection algorithmName="SHA-512" hashValue="3fuSgUozM875uPVtp94IgtulMW4r3WaYzMv0tl1GXfHZGzUQrZMI2QGUIyWlue2tL6duIr+Yj19adG20zEHuVg==" saltValue="ZMipaj0KxJ1wUlO49zcCb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80" zoomScaleNormal="80" workbookViewId="0">
      <selection activeCell="E28" sqref="E28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ht="13.25" customHeight="1" x14ac:dyDescent="0.25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ht="13.25" customHeight="1" x14ac:dyDescent="0.25">
      <c r="C3" s="5" t="s">
        <v>335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ht="13.25" customHeight="1" x14ac:dyDescent="0.25">
      <c r="C4" s="5" t="s">
        <v>336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ht="13.25" customHeight="1" x14ac:dyDescent="0.25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ht="13.25" customHeight="1" x14ac:dyDescent="0.25">
      <c r="C6" s="5" t="s">
        <v>336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ht="13.25" customHeight="1" x14ac:dyDescent="0.25">
      <c r="B7" s="5" t="s">
        <v>209</v>
      </c>
      <c r="C7" s="5" t="s">
        <v>334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ht="13.25" customHeight="1" x14ac:dyDescent="0.25">
      <c r="C8" s="5" t="s">
        <v>336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ht="13.25" customHeight="1" x14ac:dyDescent="0.25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ht="13.25" customHeight="1" x14ac:dyDescent="0.25">
      <c r="C10" s="5" t="s">
        <v>336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ht="13.25" customHeight="1" x14ac:dyDescent="0.25">
      <c r="B11" s="5" t="s">
        <v>209</v>
      </c>
      <c r="C11" s="5" t="s">
        <v>334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ht="13.25" customHeight="1" x14ac:dyDescent="0.25">
      <c r="C12" s="5" t="s">
        <v>336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ht="13.25" customHeight="1" x14ac:dyDescent="0.25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ht="13.25" customHeight="1" x14ac:dyDescent="0.25">
      <c r="C14" s="5" t="s">
        <v>336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ht="13.25" customHeight="1" x14ac:dyDescent="0.25">
      <c r="B15" s="5" t="s">
        <v>209</v>
      </c>
      <c r="C15" s="5" t="s">
        <v>334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ht="13.25" customHeight="1" x14ac:dyDescent="0.25">
      <c r="C16" s="5" t="s">
        <v>336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ht="13.25" customHeight="1" x14ac:dyDescent="0.25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ht="13.25" customHeight="1" x14ac:dyDescent="0.25">
      <c r="C18" s="5" t="s">
        <v>336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ht="13.25" customHeight="1" x14ac:dyDescent="0.25">
      <c r="B19" s="5" t="s">
        <v>209</v>
      </c>
      <c r="C19" s="5" t="s">
        <v>334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ht="13.25" customHeight="1" x14ac:dyDescent="0.25">
      <c r="C20" s="5" t="s">
        <v>336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ht="13.25" customHeight="1" x14ac:dyDescent="0.25">
      <c r="A21" s="5" t="s">
        <v>175</v>
      </c>
      <c r="B21" s="5" t="s">
        <v>84</v>
      </c>
      <c r="C21" s="5" t="s">
        <v>334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ht="13.25" customHeight="1" x14ac:dyDescent="0.25">
      <c r="C22" s="5" t="s">
        <v>335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ht="13.25" customHeight="1" x14ac:dyDescent="0.25">
      <c r="A23" s="5" t="s">
        <v>173</v>
      </c>
      <c r="B23" s="5" t="s">
        <v>84</v>
      </c>
      <c r="C23" s="5" t="s">
        <v>334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ht="13.25" customHeight="1" x14ac:dyDescent="0.25">
      <c r="C24" s="5" t="s">
        <v>335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ht="13.25" customHeight="1" x14ac:dyDescent="0.25">
      <c r="A25" s="5" t="s">
        <v>174</v>
      </c>
      <c r="B25" s="5" t="s">
        <v>84</v>
      </c>
      <c r="C25" s="5" t="s">
        <v>334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ht="13.25" customHeight="1" x14ac:dyDescent="0.25">
      <c r="C26" s="5" t="s">
        <v>335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ht="13.25" customHeight="1" x14ac:dyDescent="0.25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ht="13.25" customHeight="1" x14ac:dyDescent="0.25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ht="13.25" customHeight="1" x14ac:dyDescent="0.25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ht="13.25" customHeight="1" x14ac:dyDescent="0.25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ht="13.25" customHeight="1" x14ac:dyDescent="0.25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ht="13.25" customHeight="1" x14ac:dyDescent="0.25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ht="13.25" customHeight="1" x14ac:dyDescent="0.25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ht="13.25" customHeight="1" x14ac:dyDescent="0.25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ht="13.25" customHeight="1" x14ac:dyDescent="0.25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ht="13.25" customHeight="1" x14ac:dyDescent="0.25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ht="13.25" customHeight="1" x14ac:dyDescent="0.25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ht="13.25" customHeight="1" x14ac:dyDescent="0.25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ht="13.25" customHeight="1" x14ac:dyDescent="0.25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ht="13.25" customHeight="1" x14ac:dyDescent="0.25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ht="13.25" customHeight="1" x14ac:dyDescent="0.25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ht="13.25" customHeight="1" x14ac:dyDescent="0.25">
      <c r="A42" s="5" t="s">
        <v>200</v>
      </c>
      <c r="B42" s="5" t="s">
        <v>87</v>
      </c>
      <c r="C42" s="5" t="s">
        <v>334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ht="13.25" customHeight="1" x14ac:dyDescent="0.25">
      <c r="C43" s="5" t="s">
        <v>335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ht="13.25" customHeight="1" x14ac:dyDescent="0.25">
      <c r="C44" s="5" t="s">
        <v>336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ht="13.25" customHeight="1" x14ac:dyDescent="0.25">
      <c r="B45" s="5" t="s">
        <v>88</v>
      </c>
      <c r="C45" s="5" t="s">
        <v>334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ht="13.25" customHeight="1" x14ac:dyDescent="0.25">
      <c r="C46" s="5" t="s">
        <v>335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ht="13.25" customHeight="1" x14ac:dyDescent="0.25">
      <c r="C47" s="5" t="s">
        <v>336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ht="13.25" customHeight="1" x14ac:dyDescent="0.25">
      <c r="A48" s="5" t="s">
        <v>191</v>
      </c>
      <c r="B48" s="5" t="s">
        <v>87</v>
      </c>
      <c r="C48" s="5" t="s">
        <v>334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ht="13.25" customHeight="1" x14ac:dyDescent="0.25">
      <c r="C49" s="5" t="s">
        <v>335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ht="13.25" customHeight="1" x14ac:dyDescent="0.25">
      <c r="A50" s="5" t="s">
        <v>199</v>
      </c>
      <c r="B50" s="5" t="s">
        <v>87</v>
      </c>
      <c r="C50" s="5" t="s">
        <v>334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ht="13.25" customHeight="1" x14ac:dyDescent="0.25">
      <c r="C51" s="5" t="s">
        <v>335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ht="13.25" customHeight="1" x14ac:dyDescent="0.25">
      <c r="A52" s="5" t="s">
        <v>184</v>
      </c>
      <c r="B52" s="5" t="s">
        <v>82</v>
      </c>
      <c r="C52" s="5" t="s">
        <v>334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ht="13.25" customHeight="1" x14ac:dyDescent="0.25">
      <c r="C53" s="5" t="s">
        <v>335</v>
      </c>
      <c r="D53" s="90">
        <v>0.51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331</v>
      </c>
      <c r="B55" s="97"/>
      <c r="C55" s="97"/>
    </row>
    <row r="56" spans="1:8" ht="13" customHeight="1" x14ac:dyDescent="0.3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ht="13.25" customHeight="1" x14ac:dyDescent="0.25">
      <c r="A57" s="5" t="s">
        <v>193</v>
      </c>
      <c r="B57" s="5" t="s">
        <v>87</v>
      </c>
      <c r="C57" s="5" t="s">
        <v>334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ht="13.25" customHeight="1" x14ac:dyDescent="0.25">
      <c r="C58" s="5" t="s">
        <v>335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ht="13.25" customHeight="1" x14ac:dyDescent="0.25">
      <c r="C59" s="5" t="s">
        <v>336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ht="13.25" customHeight="1" x14ac:dyDescent="0.25">
      <c r="A60" s="5" t="s">
        <v>192</v>
      </c>
      <c r="B60" s="5" t="s">
        <v>208</v>
      </c>
      <c r="C60" s="5" t="s">
        <v>334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ht="13.25" customHeight="1" x14ac:dyDescent="0.25">
      <c r="C61" s="5" t="s">
        <v>336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ht="13.25" customHeight="1" x14ac:dyDescent="0.25">
      <c r="B62" s="5" t="s">
        <v>209</v>
      </c>
      <c r="C62" s="5" t="s">
        <v>334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ht="13.25" customHeight="1" x14ac:dyDescent="0.25">
      <c r="C63" s="5" t="s">
        <v>336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ht="13.25" customHeight="1" x14ac:dyDescent="0.25">
      <c r="A64" s="5" t="s">
        <v>185</v>
      </c>
      <c r="B64" s="5" t="s">
        <v>208</v>
      </c>
      <c r="C64" s="5" t="s">
        <v>334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ht="13.25" customHeight="1" x14ac:dyDescent="0.25">
      <c r="C65" s="5" t="s">
        <v>336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ht="13.25" customHeight="1" x14ac:dyDescent="0.25">
      <c r="B66" s="5" t="s">
        <v>209</v>
      </c>
      <c r="C66" s="5" t="s">
        <v>334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ht="13.25" customHeight="1" x14ac:dyDescent="0.25">
      <c r="C67" s="5" t="s">
        <v>336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ht="13.25" customHeight="1" x14ac:dyDescent="0.25">
      <c r="A68" s="5" t="s">
        <v>205</v>
      </c>
      <c r="B68" s="5" t="s">
        <v>208</v>
      </c>
      <c r="C68" s="5" t="s">
        <v>334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ht="13.25" customHeight="1" x14ac:dyDescent="0.25">
      <c r="C69" s="5" t="s">
        <v>336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ht="13.25" customHeight="1" x14ac:dyDescent="0.25">
      <c r="B70" s="5" t="s">
        <v>209</v>
      </c>
      <c r="C70" s="5" t="s">
        <v>334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ht="13.25" customHeight="1" x14ac:dyDescent="0.25">
      <c r="C71" s="5" t="s">
        <v>336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ht="13.25" customHeight="1" x14ac:dyDescent="0.25">
      <c r="A72" s="5" t="s">
        <v>170</v>
      </c>
      <c r="B72" s="5" t="s">
        <v>208</v>
      </c>
      <c r="C72" s="5" t="s">
        <v>334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ht="13.25" customHeight="1" x14ac:dyDescent="0.25">
      <c r="C73" s="5" t="s">
        <v>336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209</v>
      </c>
      <c r="C74" s="5" t="s">
        <v>334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336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175</v>
      </c>
      <c r="B76" s="5" t="s">
        <v>84</v>
      </c>
      <c r="C76" s="5" t="s">
        <v>334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335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173</v>
      </c>
      <c r="B78" s="5" t="s">
        <v>84</v>
      </c>
      <c r="C78" s="5" t="s">
        <v>334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335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174</v>
      </c>
      <c r="B80" s="5" t="s">
        <v>84</v>
      </c>
      <c r="C80" s="5" t="s">
        <v>334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335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197</v>
      </c>
      <c r="B82" s="5" t="s">
        <v>87</v>
      </c>
      <c r="C82" s="5" t="s">
        <v>334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335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336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198</v>
      </c>
      <c r="B85" s="5" t="s">
        <v>87</v>
      </c>
      <c r="C85" s="5" t="s">
        <v>334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335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336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196</v>
      </c>
      <c r="B88" s="5" t="s">
        <v>87</v>
      </c>
      <c r="C88" s="5" t="s">
        <v>334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335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336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195</v>
      </c>
      <c r="B91" s="5" t="s">
        <v>87</v>
      </c>
      <c r="C91" s="5" t="s">
        <v>334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335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336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194</v>
      </c>
      <c r="B94" s="5" t="s">
        <v>87</v>
      </c>
      <c r="C94" s="5" t="s">
        <v>334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335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336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200</v>
      </c>
      <c r="B97" s="5" t="s">
        <v>87</v>
      </c>
      <c r="C97" s="5" t="s">
        <v>334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335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336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88</v>
      </c>
      <c r="C100" s="5" t="s">
        <v>334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335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336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191</v>
      </c>
      <c r="B103" s="5" t="s">
        <v>87</v>
      </c>
      <c r="C103" s="5" t="s">
        <v>334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335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199</v>
      </c>
      <c r="B105" s="5" t="s">
        <v>87</v>
      </c>
      <c r="C105" s="5" t="s">
        <v>334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335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184</v>
      </c>
      <c r="B107" s="5" t="s">
        <v>82</v>
      </c>
      <c r="C107" s="5" t="s">
        <v>334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335</v>
      </c>
      <c r="D108" s="90">
        <v>0.18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332</v>
      </c>
      <c r="B110" s="97"/>
      <c r="C110" s="97"/>
    </row>
    <row r="111" spans="1:8" ht="13" customHeight="1" x14ac:dyDescent="0.3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5">
      <c r="A112" s="5" t="s">
        <v>193</v>
      </c>
      <c r="B112" s="5" t="s">
        <v>87</v>
      </c>
      <c r="C112" s="5" t="s">
        <v>334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335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336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192</v>
      </c>
      <c r="B115" s="5" t="s">
        <v>208</v>
      </c>
      <c r="C115" s="5" t="s">
        <v>334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336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209</v>
      </c>
      <c r="C117" s="5" t="s">
        <v>334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336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185</v>
      </c>
      <c r="B119" s="5" t="s">
        <v>208</v>
      </c>
      <c r="C119" s="5" t="s">
        <v>334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336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209</v>
      </c>
      <c r="C121" s="5" t="s">
        <v>334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336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205</v>
      </c>
      <c r="B123" s="5" t="s">
        <v>208</v>
      </c>
      <c r="C123" s="5" t="s">
        <v>334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336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209</v>
      </c>
      <c r="C125" s="5" t="s">
        <v>334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336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170</v>
      </c>
      <c r="B127" s="5" t="s">
        <v>208</v>
      </c>
      <c r="C127" s="5" t="s">
        <v>334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336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209</v>
      </c>
      <c r="C129" s="5" t="s">
        <v>334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336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175</v>
      </c>
      <c r="B131" s="5" t="s">
        <v>84</v>
      </c>
      <c r="C131" s="5" t="s">
        <v>334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335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173</v>
      </c>
      <c r="B133" s="5" t="s">
        <v>84</v>
      </c>
      <c r="C133" s="5" t="s">
        <v>334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335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174</v>
      </c>
      <c r="B135" s="5" t="s">
        <v>84</v>
      </c>
      <c r="C135" s="5" t="s">
        <v>334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335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197</v>
      </c>
      <c r="B137" s="5" t="s">
        <v>87</v>
      </c>
      <c r="C137" s="5" t="s">
        <v>334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335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336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198</v>
      </c>
      <c r="B140" s="5" t="s">
        <v>87</v>
      </c>
      <c r="C140" s="5" t="s">
        <v>334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335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336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196</v>
      </c>
      <c r="B143" s="5" t="s">
        <v>87</v>
      </c>
      <c r="C143" s="5" t="s">
        <v>334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335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336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195</v>
      </c>
      <c r="B146" s="5" t="s">
        <v>87</v>
      </c>
      <c r="C146" s="5" t="s">
        <v>334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335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336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194</v>
      </c>
      <c r="B149" s="5" t="s">
        <v>87</v>
      </c>
      <c r="C149" s="5" t="s">
        <v>334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335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336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200</v>
      </c>
      <c r="B152" s="5" t="s">
        <v>87</v>
      </c>
      <c r="C152" s="5" t="s">
        <v>334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335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336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88</v>
      </c>
      <c r="C155" s="5" t="s">
        <v>334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335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336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191</v>
      </c>
      <c r="B158" s="5" t="s">
        <v>87</v>
      </c>
      <c r="C158" s="5" t="s">
        <v>334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335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199</v>
      </c>
      <c r="B160" s="5" t="s">
        <v>87</v>
      </c>
      <c r="C160" s="5" t="s">
        <v>334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335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184</v>
      </c>
      <c r="B162" s="5" t="s">
        <v>82</v>
      </c>
      <c r="C162" s="5" t="s">
        <v>334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335</v>
      </c>
      <c r="D163" s="90">
        <v>0.71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qlnSyerS9Vcud+TrVkddpYvNfkR86iqApdiKL7xYOZ9OmpXuNXYvNNzC/YC/8A6YJcQX2uh8ZuBF+8/WfTxEQA==" saltValue="0kguayQiXlJPJNYOkvDCB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D2" sqref="D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ht="13.25" customHeight="1" x14ac:dyDescent="0.25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ht="13.25" customHeight="1" x14ac:dyDescent="0.25">
      <c r="C3" s="8" t="s">
        <v>335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ht="13.25" customHeight="1" x14ac:dyDescent="0.25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ht="13.25" customHeight="1" x14ac:dyDescent="0.25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ht="13.25" customHeight="1" x14ac:dyDescent="0.25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ht="13.25" customHeight="1" x14ac:dyDescent="0.25">
      <c r="C7" s="8" t="s">
        <v>335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331</v>
      </c>
    </row>
    <row r="10" spans="1:8" ht="13" customHeight="1" x14ac:dyDescent="0.3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ht="13.25" customHeight="1" x14ac:dyDescent="0.25">
      <c r="A11" s="3" t="s">
        <v>169</v>
      </c>
      <c r="B11" s="8" t="s">
        <v>104</v>
      </c>
      <c r="C11" s="3" t="s">
        <v>334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ht="13.25" customHeight="1" x14ac:dyDescent="0.25">
      <c r="C12" s="8" t="s">
        <v>335</v>
      </c>
      <c r="D12" s="90">
        <v>0</v>
      </c>
      <c r="E12" s="90">
        <v>0</v>
      </c>
      <c r="F12" s="90">
        <v>0</v>
      </c>
      <c r="G12" s="90">
        <v>0</v>
      </c>
    </row>
    <row r="13" spans="1:8" ht="13.25" customHeight="1" x14ac:dyDescent="0.25">
      <c r="A13" s="3" t="s">
        <v>188</v>
      </c>
      <c r="B13" s="8" t="s">
        <v>104</v>
      </c>
      <c r="C13" s="3" t="s">
        <v>334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ht="13.25" customHeight="1" x14ac:dyDescent="0.25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ht="13.25" customHeight="1" x14ac:dyDescent="0.25">
      <c r="A15" s="3" t="s">
        <v>187</v>
      </c>
      <c r="B15" s="8" t="s">
        <v>104</v>
      </c>
      <c r="C15" s="3" t="s">
        <v>334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ht="13.25" customHeight="1" x14ac:dyDescent="0.25">
      <c r="C16" s="8" t="s">
        <v>335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332</v>
      </c>
    </row>
    <row r="19" spans="1:7" ht="13" customHeight="1" x14ac:dyDescent="0.3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ht="13.25" customHeight="1" x14ac:dyDescent="0.25">
      <c r="A20" s="3" t="s">
        <v>169</v>
      </c>
      <c r="B20" s="8" t="s">
        <v>104</v>
      </c>
      <c r="C20" s="3" t="s">
        <v>334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ht="13.25" customHeight="1" x14ac:dyDescent="0.25">
      <c r="C21" s="8" t="s">
        <v>335</v>
      </c>
      <c r="D21" s="90">
        <v>0.98</v>
      </c>
      <c r="E21" s="90">
        <v>0.98</v>
      </c>
      <c r="F21" s="90">
        <v>0.98</v>
      </c>
      <c r="G21" s="90">
        <v>0.98</v>
      </c>
    </row>
    <row r="22" spans="1:7" ht="13.25" customHeight="1" x14ac:dyDescent="0.25">
      <c r="A22" s="3" t="s">
        <v>188</v>
      </c>
      <c r="B22" s="8" t="s">
        <v>104</v>
      </c>
      <c r="C22" s="3" t="s">
        <v>334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ht="13.25" customHeight="1" x14ac:dyDescent="0.25">
      <c r="C23" s="8" t="s">
        <v>335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ht="13.25" customHeight="1" x14ac:dyDescent="0.25">
      <c r="A24" s="3" t="s">
        <v>187</v>
      </c>
      <c r="B24" s="8" t="s">
        <v>104</v>
      </c>
      <c r="C24" s="3" t="s">
        <v>334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ht="13.25" customHeight="1" x14ac:dyDescent="0.25">
      <c r="C25" s="8" t="s">
        <v>335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C+lzpgk3TfRqkpKg2BYuYIw6BXc7yrwc3ywBBRdcQaj5crHmyyuvLVRwx/DhX/km8E6Vbbg5g+YTSNQLwDhoNA==" saltValue="UGa6+HB+nYxaA61dME5dxQ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3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5">
      <c r="B3" s="19" t="s">
        <v>78</v>
      </c>
      <c r="C3" s="55">
        <v>0</v>
      </c>
    </row>
    <row r="4" spans="1:8" ht="15.75" customHeight="1" x14ac:dyDescent="0.25">
      <c r="B4" s="19" t="s">
        <v>79</v>
      </c>
      <c r="C4" s="101">
        <v>0.15957447432679839</v>
      </c>
    </row>
    <row r="5" spans="1:8" ht="15.75" customHeight="1" x14ac:dyDescent="0.25">
      <c r="B5" s="19" t="s">
        <v>80</v>
      </c>
      <c r="C5" s="101">
        <v>3.1914893049169141E-2</v>
      </c>
    </row>
    <row r="6" spans="1:8" ht="15.75" customHeight="1" x14ac:dyDescent="0.25">
      <c r="B6" s="19" t="s">
        <v>81</v>
      </c>
      <c r="C6" s="101">
        <v>0.14893617362247261</v>
      </c>
    </row>
    <row r="7" spans="1:8" ht="15.75" customHeight="1" x14ac:dyDescent="0.25">
      <c r="B7" s="19" t="s">
        <v>82</v>
      </c>
      <c r="C7" s="101">
        <v>0.34042551374796293</v>
      </c>
    </row>
    <row r="8" spans="1:8" ht="15.75" customHeight="1" x14ac:dyDescent="0.25">
      <c r="B8" s="19" t="s">
        <v>83</v>
      </c>
      <c r="C8" s="101">
        <v>0</v>
      </c>
    </row>
    <row r="9" spans="1:8" ht="15.75" customHeight="1" x14ac:dyDescent="0.25">
      <c r="B9" s="19" t="s">
        <v>84</v>
      </c>
      <c r="C9" s="101">
        <v>0.2127659597150966</v>
      </c>
    </row>
    <row r="10" spans="1:8" ht="15.75" customHeight="1" x14ac:dyDescent="0.25">
      <c r="B10" s="19" t="s">
        <v>85</v>
      </c>
      <c r="C10" s="101">
        <v>0.1063829855385004</v>
      </c>
    </row>
    <row r="11" spans="1:8" ht="15.75" customHeight="1" x14ac:dyDescent="0.25">
      <c r="B11" s="27" t="s">
        <v>41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86</v>
      </c>
      <c r="B13" s="29" t="s">
        <v>1</v>
      </c>
      <c r="C13" s="102" t="s">
        <v>96</v>
      </c>
      <c r="D13" s="102" t="s">
        <v>97</v>
      </c>
      <c r="E13" s="102" t="s">
        <v>98</v>
      </c>
      <c r="F13" s="102" t="s">
        <v>99</v>
      </c>
      <c r="G13" s="19"/>
    </row>
    <row r="14" spans="1:8" ht="15.75" customHeight="1" x14ac:dyDescent="0.25">
      <c r="B14" s="19" t="s">
        <v>87</v>
      </c>
      <c r="C14" s="55">
        <v>0</v>
      </c>
      <c r="D14" s="55">
        <v>0</v>
      </c>
      <c r="E14" s="55">
        <v>0</v>
      </c>
      <c r="F14" s="55">
        <v>0</v>
      </c>
    </row>
    <row r="15" spans="1:8" ht="15.75" customHeight="1" x14ac:dyDescent="0.25">
      <c r="B15" s="19" t="s">
        <v>88</v>
      </c>
      <c r="C15" s="101">
        <v>0.18969127135882199</v>
      </c>
      <c r="D15" s="101">
        <v>0.18969127135882199</v>
      </c>
      <c r="E15" s="101">
        <v>0.18969127135882199</v>
      </c>
      <c r="F15" s="101">
        <v>0.18969127135882199</v>
      </c>
    </row>
    <row r="16" spans="1:8" ht="15.75" customHeight="1" x14ac:dyDescent="0.25">
      <c r="B16" s="19" t="s">
        <v>89</v>
      </c>
      <c r="C16" s="101">
        <v>3.4607090481600038E-2</v>
      </c>
      <c r="D16" s="101">
        <v>3.4607090481600038E-2</v>
      </c>
      <c r="E16" s="101">
        <v>3.4607090481600038E-2</v>
      </c>
      <c r="F16" s="101">
        <v>3.4607090481600038E-2</v>
      </c>
    </row>
    <row r="17" spans="1:8" ht="15.75" customHeight="1" x14ac:dyDescent="0.25">
      <c r="B17" s="19" t="s">
        <v>90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91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92</v>
      </c>
      <c r="C19" s="101">
        <v>0</v>
      </c>
      <c r="D19" s="101">
        <v>0</v>
      </c>
      <c r="E19" s="101">
        <v>0</v>
      </c>
      <c r="F19" s="101">
        <v>0</v>
      </c>
    </row>
    <row r="20" spans="1:8" ht="15.75" customHeight="1" x14ac:dyDescent="0.25">
      <c r="B20" s="19" t="s">
        <v>93</v>
      </c>
      <c r="C20" s="101">
        <v>8.0534739416660117E-2</v>
      </c>
      <c r="D20" s="101">
        <v>8.0534739416660117E-2</v>
      </c>
      <c r="E20" s="101">
        <v>8.0534739416660117E-2</v>
      </c>
      <c r="F20" s="101">
        <v>8.0534739416660117E-2</v>
      </c>
    </row>
    <row r="21" spans="1:8" ht="15.75" customHeight="1" x14ac:dyDescent="0.25">
      <c r="B21" s="19" t="s">
        <v>94</v>
      </c>
      <c r="C21" s="101">
        <v>0.1050817435504159</v>
      </c>
      <c r="D21" s="101">
        <v>0.1050817435504159</v>
      </c>
      <c r="E21" s="101">
        <v>0.1050817435504159</v>
      </c>
      <c r="F21" s="101">
        <v>0.1050817435504159</v>
      </c>
    </row>
    <row r="22" spans="1:8" ht="15.75" customHeight="1" x14ac:dyDescent="0.25">
      <c r="B22" s="19" t="s">
        <v>95</v>
      </c>
      <c r="C22" s="101">
        <v>0.59008515519250204</v>
      </c>
      <c r="D22" s="101">
        <v>0.59008515519250204</v>
      </c>
      <c r="E22" s="101">
        <v>0.59008515519250204</v>
      </c>
      <c r="F22" s="101">
        <v>0.59008515519250204</v>
      </c>
    </row>
    <row r="23" spans="1:8" ht="15.75" customHeight="1" x14ac:dyDescent="0.25">
      <c r="B23" s="27" t="s">
        <v>41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101</v>
      </c>
      <c r="C26" s="55">
        <v>6.3877289000000004E-2</v>
      </c>
    </row>
    <row r="27" spans="1:8" ht="15.75" customHeight="1" x14ac:dyDescent="0.25">
      <c r="B27" s="19" t="s">
        <v>102</v>
      </c>
      <c r="C27" s="101">
        <v>0.18947355599999999</v>
      </c>
    </row>
    <row r="28" spans="1:8" ht="15.75" customHeight="1" x14ac:dyDescent="0.25">
      <c r="B28" s="19" t="s">
        <v>103</v>
      </c>
      <c r="C28" s="101">
        <v>0.10579783700000001</v>
      </c>
    </row>
    <row r="29" spans="1:8" ht="15.75" customHeight="1" x14ac:dyDescent="0.25">
      <c r="B29" s="19" t="s">
        <v>104</v>
      </c>
      <c r="C29" s="101">
        <v>0.116400988</v>
      </c>
    </row>
    <row r="30" spans="1:8" ht="15.75" customHeight="1" x14ac:dyDescent="0.25">
      <c r="B30" s="19" t="s">
        <v>2</v>
      </c>
      <c r="C30" s="101">
        <v>5.2355714999999997E-2</v>
      </c>
    </row>
    <row r="31" spans="1:8" ht="15.75" customHeight="1" x14ac:dyDescent="0.25">
      <c r="B31" s="19" t="s">
        <v>105</v>
      </c>
      <c r="C31" s="101">
        <v>0.15858112799999999</v>
      </c>
    </row>
    <row r="32" spans="1:8" ht="15.75" customHeight="1" x14ac:dyDescent="0.25">
      <c r="B32" s="19" t="s">
        <v>106</v>
      </c>
      <c r="C32" s="101">
        <v>7.0649206000000006E-2</v>
      </c>
    </row>
    <row r="33" spans="2:3" ht="15.75" customHeight="1" x14ac:dyDescent="0.25">
      <c r="B33" s="19" t="s">
        <v>107</v>
      </c>
      <c r="C33" s="101">
        <v>0.120208732</v>
      </c>
    </row>
    <row r="34" spans="2:3" ht="15.75" customHeight="1" x14ac:dyDescent="0.25">
      <c r="B34" s="19" t="s">
        <v>108</v>
      </c>
      <c r="C34" s="101">
        <v>0.122655549</v>
      </c>
    </row>
    <row r="35" spans="2:3" ht="15.75" customHeight="1" x14ac:dyDescent="0.25">
      <c r="B35" s="27" t="s">
        <v>41</v>
      </c>
      <c r="C35" s="48">
        <f>SUM(C26:C34)</f>
        <v>1</v>
      </c>
    </row>
  </sheetData>
  <sheetProtection algorithmName="SHA-512" hashValue="Z4e6jdSEl+qukeUdwWrc/F3PgLeJCoNwKjGNPUaIWlQ39PFSsqccpBcIbE0/XPBxQTc0BLwVrVqkf//5350dWw==" saltValue="RrkjgUZhjSqvy9jkhmZT2Q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5">
      <c r="A2" s="3" t="s">
        <v>111</v>
      </c>
      <c r="B2" s="5" t="s">
        <v>112</v>
      </c>
      <c r="C2" s="52">
        <f>IFERROR(1-_xlfn.NORM.DIST(_xlfn.NORM.INV(SUM(C4:C5), 0, 1) + 1, 0, 1, TRUE), "")</f>
        <v>0.44271398086223201</v>
      </c>
      <c r="D2" s="52">
        <f>IFERROR(1-_xlfn.NORM.DIST(_xlfn.NORM.INV(SUM(D4:D5), 0, 1) + 1, 0, 1, TRUE), "")</f>
        <v>0.44271398086223201</v>
      </c>
      <c r="E2" s="52">
        <f>IFERROR(1-_xlfn.NORM.DIST(_xlfn.NORM.INV(SUM(E4:E5), 0, 1) + 1, 0, 1, TRUE), "")</f>
        <v>0.34328145737735127</v>
      </c>
      <c r="F2" s="52">
        <f>IFERROR(1-_xlfn.NORM.DIST(_xlfn.NORM.INV(SUM(F4:F5), 0, 1) + 1, 0, 1, TRUE), "")</f>
        <v>0.17237054586040745</v>
      </c>
      <c r="G2" s="52">
        <f>IFERROR(1-_xlfn.NORM.DIST(_xlfn.NORM.INV(SUM(G4:G5), 0, 1) + 1, 0, 1, TRUE), "")</f>
        <v>0.16113967161260878</v>
      </c>
    </row>
    <row r="3" spans="1:15" ht="15.75" customHeight="1" x14ac:dyDescent="0.25">
      <c r="B3" s="5" t="s">
        <v>113</v>
      </c>
      <c r="C3" s="52">
        <f>IFERROR(_xlfn.NORM.DIST(_xlfn.NORM.INV(SUM(C4:C5), 0, 1) + 1, 0, 1, TRUE) - SUM(C4:C5), "")</f>
        <v>0.3612617333455781</v>
      </c>
      <c r="D3" s="52">
        <f>IFERROR(_xlfn.NORM.DIST(_xlfn.NORM.INV(SUM(D4:D5), 0, 1) + 1, 0, 1, TRUE) - SUM(D4:D5), "")</f>
        <v>0.3612617333455781</v>
      </c>
      <c r="E3" s="52">
        <f>IFERROR(_xlfn.NORM.DIST(_xlfn.NORM.INV(SUM(E4:E5), 0, 1) + 1, 0, 1, TRUE) - SUM(E4:E5), "")</f>
        <v>0.3812899614359907</v>
      </c>
      <c r="F3" s="52">
        <f>IFERROR(_xlfn.NORM.DIST(_xlfn.NORM.INV(SUM(F4:F5), 0, 1) + 1, 0, 1, TRUE) - SUM(F4:F5), "")</f>
        <v>0.34962436547079156</v>
      </c>
      <c r="G3" s="52">
        <f>IFERROR(_xlfn.NORM.DIST(_xlfn.NORM.INV(SUM(G4:G5), 0, 1) + 1, 0, 1, TRUE) - SUM(G4:G5), "")</f>
        <v>0.34293555504640627</v>
      </c>
    </row>
    <row r="4" spans="1:15" ht="15.75" customHeight="1" x14ac:dyDescent="0.25">
      <c r="B4" s="5" t="s">
        <v>114</v>
      </c>
      <c r="C4" s="45">
        <v>0.112322704963234</v>
      </c>
      <c r="D4" s="53">
        <v>0.112322704963234</v>
      </c>
      <c r="E4" s="53">
        <v>0.166080500946093</v>
      </c>
      <c r="F4" s="53">
        <v>0.25655427004518899</v>
      </c>
      <c r="G4" s="53">
        <v>0.26512859806654798</v>
      </c>
    </row>
    <row r="5" spans="1:15" ht="15.75" customHeight="1" x14ac:dyDescent="0.25">
      <c r="B5" s="5" t="s">
        <v>115</v>
      </c>
      <c r="C5" s="45">
        <v>8.3701580828955902E-2</v>
      </c>
      <c r="D5" s="53">
        <v>8.3701580828955902E-2</v>
      </c>
      <c r="E5" s="53">
        <v>0.109348080240565</v>
      </c>
      <c r="F5" s="53">
        <v>0.22145081862361199</v>
      </c>
      <c r="G5" s="53">
        <v>0.23079617527443699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116</v>
      </c>
      <c r="B8" s="5" t="s">
        <v>117</v>
      </c>
      <c r="C8" s="52">
        <f>IFERROR(1-_xlfn.NORM.DIST(_xlfn.NORM.INV(SUM(C10:C11), 0, 1) + 1, 0, 1, TRUE), "")</f>
        <v>0.59463559811179068</v>
      </c>
      <c r="D8" s="52">
        <f>IFERROR(1-_xlfn.NORM.DIST(_xlfn.NORM.INV(SUM(D10:D11), 0, 1) + 1, 0, 1, TRUE), "")</f>
        <v>0.59463559811179068</v>
      </c>
      <c r="E8" s="52">
        <f>IFERROR(1-_xlfn.NORM.DIST(_xlfn.NORM.INV(SUM(E10:E11), 0, 1) + 1, 0, 1, TRUE), "")</f>
        <v>0.57356455818407126</v>
      </c>
      <c r="F8" s="52">
        <f>IFERROR(1-_xlfn.NORM.DIST(_xlfn.NORM.INV(SUM(F10:F11), 0, 1) + 1, 0, 1, TRUE), "")</f>
        <v>0.62300966941728453</v>
      </c>
      <c r="G8" s="52">
        <f>IFERROR(1-_xlfn.NORM.DIST(_xlfn.NORM.INV(SUM(G10:G11), 0, 1) + 1, 0, 1, TRUE), "")</f>
        <v>0.73259472032102957</v>
      </c>
    </row>
    <row r="9" spans="1:15" ht="15.75" customHeight="1" x14ac:dyDescent="0.25">
      <c r="B9" s="5" t="s">
        <v>118</v>
      </c>
      <c r="C9" s="52">
        <f>IFERROR(_xlfn.NORM.DIST(_xlfn.NORM.INV(SUM(C10:C11), 0, 1) + 1, 0, 1, TRUE) - SUM(C10:C11), "")</f>
        <v>0.29778160417023652</v>
      </c>
      <c r="D9" s="52">
        <f>IFERROR(_xlfn.NORM.DIST(_xlfn.NORM.INV(SUM(D10:D11), 0, 1) + 1, 0, 1, TRUE) - SUM(D10:D11), "")</f>
        <v>0.29778160417023652</v>
      </c>
      <c r="E9" s="52">
        <f>IFERROR(_xlfn.NORM.DIST(_xlfn.NORM.INV(SUM(E10:E11), 0, 1) + 1, 0, 1, TRUE) - SUM(E10:E11), "")</f>
        <v>0.30851696820205732</v>
      </c>
      <c r="F9" s="52">
        <f>IFERROR(_xlfn.NORM.DIST(_xlfn.NORM.INV(SUM(F10:F11), 0, 1) + 1, 0, 1, TRUE) - SUM(F10:F11), "")</f>
        <v>0.28246537240410174</v>
      </c>
      <c r="G9" s="52">
        <f>IFERROR(_xlfn.NORM.DIST(_xlfn.NORM.INV(SUM(G10:G11), 0, 1) + 1, 0, 1, TRUE) - SUM(G10:G11), "")</f>
        <v>0.21486207710733823</v>
      </c>
    </row>
    <row r="10" spans="1:15" ht="15.75" customHeight="1" x14ac:dyDescent="0.25">
      <c r="B10" s="5" t="s">
        <v>119</v>
      </c>
      <c r="C10" s="45">
        <v>6.2125760551020703E-2</v>
      </c>
      <c r="D10" s="53">
        <v>6.2125760551020703E-2</v>
      </c>
      <c r="E10" s="53">
        <v>7.5157248934135598E-2</v>
      </c>
      <c r="F10" s="53">
        <v>6.2279893880849799E-2</v>
      </c>
      <c r="G10" s="53">
        <v>3.4148674378456298E-2</v>
      </c>
    </row>
    <row r="11" spans="1:15" ht="15.75" customHeight="1" x14ac:dyDescent="0.25">
      <c r="B11" s="5" t="s">
        <v>120</v>
      </c>
      <c r="C11" s="45">
        <v>4.5457037166952097E-2</v>
      </c>
      <c r="D11" s="53">
        <v>4.5457037166952097E-2</v>
      </c>
      <c r="E11" s="53">
        <v>4.2761224679735803E-2</v>
      </c>
      <c r="F11" s="53">
        <v>3.2245064297763901E-2</v>
      </c>
      <c r="G11" s="53">
        <v>1.8394528193175899E-2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5">
      <c r="B14" s="11" t="s">
        <v>126</v>
      </c>
      <c r="C14" s="51">
        <v>0.49655583125000002</v>
      </c>
      <c r="D14" s="54">
        <v>0.47001446794099999</v>
      </c>
      <c r="E14" s="54">
        <v>0.47001446794099999</v>
      </c>
      <c r="F14" s="54">
        <v>0.21084454282599999</v>
      </c>
      <c r="G14" s="54">
        <v>0.21084454282599999</v>
      </c>
      <c r="H14" s="45">
        <v>0.29299999999999998</v>
      </c>
      <c r="I14" s="55">
        <v>0.29299999999999998</v>
      </c>
      <c r="J14" s="55">
        <v>0.29299999999999998</v>
      </c>
      <c r="K14" s="55">
        <v>0.29299999999999998</v>
      </c>
      <c r="L14" s="45">
        <v>0.25</v>
      </c>
      <c r="M14" s="55">
        <v>0.25</v>
      </c>
      <c r="N14" s="55">
        <v>0.25</v>
      </c>
      <c r="O14" s="55">
        <v>0.25</v>
      </c>
    </row>
    <row r="15" spans="1:15" ht="15.75" customHeight="1" x14ac:dyDescent="0.25">
      <c r="B15" s="11" t="s">
        <v>127</v>
      </c>
      <c r="C15" s="52">
        <f t="shared" ref="C15:O15" si="0">iron_deficiency_anaemia*C14</f>
        <v>0.27332121241826252</v>
      </c>
      <c r="D15" s="52">
        <f t="shared" si="0"/>
        <v>0.25871194364663636</v>
      </c>
      <c r="E15" s="52">
        <f t="shared" si="0"/>
        <v>0.25871194364663636</v>
      </c>
      <c r="F15" s="52">
        <f t="shared" si="0"/>
        <v>0.11605600508588647</v>
      </c>
      <c r="G15" s="52">
        <f t="shared" si="0"/>
        <v>0.11605600508588647</v>
      </c>
      <c r="H15" s="52">
        <f t="shared" si="0"/>
        <v>0.16127716199999997</v>
      </c>
      <c r="I15" s="52">
        <f t="shared" si="0"/>
        <v>0.16127716199999997</v>
      </c>
      <c r="J15" s="52">
        <f t="shared" si="0"/>
        <v>0.16127716199999997</v>
      </c>
      <c r="K15" s="52">
        <f t="shared" si="0"/>
        <v>0.16127716199999997</v>
      </c>
      <c r="L15" s="52">
        <f t="shared" si="0"/>
        <v>0.13760849999999999</v>
      </c>
      <c r="M15" s="52">
        <f t="shared" si="0"/>
        <v>0.13760849999999999</v>
      </c>
      <c r="N15" s="52">
        <f t="shared" si="0"/>
        <v>0.13760849999999999</v>
      </c>
      <c r="O15" s="52">
        <f t="shared" si="0"/>
        <v>0.13760849999999999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4PJg33YT3/em/asBlA3657VdG7hKDWkduOPD65ouqgk01IC3JGoB2ud+4fX54fl4yhfeIMzGmGlx0vllzh9ClA==" saltValue="kynOeLYu1vhpgAiZbIg96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5">
      <c r="A2" s="3" t="s">
        <v>128</v>
      </c>
      <c r="B2" s="3" t="s">
        <v>129</v>
      </c>
      <c r="C2" s="45">
        <v>0.70065552836136602</v>
      </c>
      <c r="D2" s="53">
        <v>0.47949795743589702</v>
      </c>
      <c r="E2" s="53"/>
      <c r="F2" s="53"/>
      <c r="G2" s="53"/>
    </row>
    <row r="3" spans="1:7" x14ac:dyDescent="0.25">
      <c r="B3" s="3" t="s">
        <v>130</v>
      </c>
      <c r="C3" s="53">
        <v>0.166770393475005</v>
      </c>
      <c r="D3" s="53">
        <v>0.18713821230769201</v>
      </c>
      <c r="E3" s="53"/>
      <c r="F3" s="53"/>
      <c r="G3" s="53"/>
    </row>
    <row r="4" spans="1:7" x14ac:dyDescent="0.25">
      <c r="B4" s="3" t="s">
        <v>131</v>
      </c>
      <c r="C4" s="53">
        <v>0.11331346789737499</v>
      </c>
      <c r="D4" s="53">
        <v>0.31432332743589703</v>
      </c>
      <c r="E4" s="53">
        <v>0.95904587324245594</v>
      </c>
      <c r="F4" s="53">
        <v>0.78975971424257396</v>
      </c>
      <c r="G4" s="53"/>
    </row>
    <row r="5" spans="1:7" x14ac:dyDescent="0.25">
      <c r="B5" s="3" t="s">
        <v>132</v>
      </c>
      <c r="C5" s="52">
        <v>1.9381586010509801E-2</v>
      </c>
      <c r="D5" s="52">
        <v>1.9040498354215101E-2</v>
      </c>
      <c r="E5" s="52">
        <f>1-SUM(E2:E4)</f>
        <v>4.0954126757544063E-2</v>
      </c>
      <c r="F5" s="52">
        <f>1-SUM(F2:F4)</f>
        <v>0.21024028575742604</v>
      </c>
      <c r="G5" s="52">
        <f>1-SUM(G2:G4)</f>
        <v>1</v>
      </c>
    </row>
  </sheetData>
  <sheetProtection algorithmName="SHA-512" hashValue="+u6MUIL9x5uTvPz0kn2b0zzq0t8t0v3eyz27Qf/gPyfjyuOqn/mwGRy0b1Ik/kWyQUDIYJFaFwJOeCKTRCsKSw==" saltValue="80mQo71XypS1pR07k1f3A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ht="13.25" customHeight="1" x14ac:dyDescent="0.25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ht="13.25" customHeight="1" x14ac:dyDescent="0.25">
      <c r="B3" s="9"/>
    </row>
    <row r="4" spans="1:11" ht="13.25" customHeight="1" x14ac:dyDescent="0.25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ht="13.25" customHeight="1" x14ac:dyDescent="0.25">
      <c r="B5" s="9"/>
    </row>
    <row r="6" spans="1:11" ht="13.25" customHeight="1" x14ac:dyDescent="0.25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ht="13.25" customHeight="1" x14ac:dyDescent="0.25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ht="13.25" customHeight="1" x14ac:dyDescent="0.25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ht="13.25" customHeight="1" x14ac:dyDescent="0.25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ht="13.25" customHeight="1" x14ac:dyDescent="0.25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ht="13.25" customHeight="1" x14ac:dyDescent="0.25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ht="13.25" customHeight="1" x14ac:dyDescent="0.25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D5IkvJcMNteZBQLq7saLAwCDTDhH+v3hifIn8PzRHOv9yDCdMtXR5luEM1GSEhltLFwEOYX1n4iLFr1inYTn1A==" saltValue="yHYAgzePjaqkP4aIwc/QD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4</v>
      </c>
      <c r="B1" s="4" t="s">
        <v>144</v>
      </c>
    </row>
    <row r="2" spans="1:2" ht="13.25" customHeight="1" x14ac:dyDescent="0.25">
      <c r="A2" s="8" t="s">
        <v>145</v>
      </c>
      <c r="B2" s="41">
        <v>10</v>
      </c>
    </row>
    <row r="3" spans="1:2" ht="13.25" customHeight="1" x14ac:dyDescent="0.25">
      <c r="A3" s="8" t="s">
        <v>150</v>
      </c>
      <c r="B3" s="41">
        <v>10</v>
      </c>
    </row>
    <row r="4" spans="1:2" ht="13.25" customHeight="1" x14ac:dyDescent="0.25">
      <c r="A4" s="8" t="s">
        <v>146</v>
      </c>
      <c r="B4" s="41">
        <v>10</v>
      </c>
    </row>
    <row r="5" spans="1:2" ht="13.25" customHeight="1" x14ac:dyDescent="0.25">
      <c r="A5" s="8" t="s">
        <v>147</v>
      </c>
      <c r="B5" s="41">
        <v>10</v>
      </c>
    </row>
    <row r="6" spans="1:2" ht="13.25" customHeight="1" x14ac:dyDescent="0.25">
      <c r="A6" s="8" t="s">
        <v>148</v>
      </c>
      <c r="B6" s="41">
        <v>10</v>
      </c>
    </row>
    <row r="7" spans="1:2" ht="13.25" customHeight="1" x14ac:dyDescent="0.25">
      <c r="A7" s="8" t="s">
        <v>149</v>
      </c>
      <c r="B7" s="41">
        <v>10</v>
      </c>
    </row>
  </sheetData>
  <sheetProtection algorithmName="SHA-512" hashValue="TzSM30c9dCVsQg/aHhy+8hoUtamfYpkRZ1/oKqyLVrqcPxbB4ueZo63Gf8m9EK1GdVL0WACsyKNH980cR2upAw==" saltValue="xm7yCfSF+I1uYjdwQwIw5w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ht="13" customHeight="1" x14ac:dyDescent="0.3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ht="13.25" customHeight="1" x14ac:dyDescent="0.25">
      <c r="B3" s="32" t="s">
        <v>109</v>
      </c>
      <c r="C3" s="47"/>
      <c r="D3" s="47" t="s">
        <v>5</v>
      </c>
      <c r="E3" s="38" t="str">
        <f>IF(E$7="","",E$7)</f>
        <v/>
      </c>
    </row>
    <row r="4" spans="1:5" ht="13.25" customHeight="1" x14ac:dyDescent="0.25">
      <c r="B4" s="32" t="s">
        <v>96</v>
      </c>
      <c r="C4" s="47"/>
      <c r="D4" s="47" t="s">
        <v>5</v>
      </c>
      <c r="E4" s="38" t="str">
        <f>IF(E$7="","",E$7)</f>
        <v/>
      </c>
    </row>
    <row r="5" spans="1:5" ht="13.25" customHeight="1" x14ac:dyDescent="0.25">
      <c r="B5" s="32" t="s">
        <v>97</v>
      </c>
      <c r="C5" s="47"/>
      <c r="D5" s="47"/>
      <c r="E5" s="38" t="str">
        <f>IF(E$7="","",E$7)</f>
        <v/>
      </c>
    </row>
    <row r="6" spans="1:5" ht="13.25" customHeight="1" x14ac:dyDescent="0.25">
      <c r="B6" s="32" t="s">
        <v>98</v>
      </c>
      <c r="C6" s="47"/>
      <c r="D6" s="47"/>
      <c r="E6" s="38" t="str">
        <f>IF(E$7="","",E$7)</f>
        <v/>
      </c>
    </row>
    <row r="7" spans="1:5" ht="13.25" customHeight="1" x14ac:dyDescent="0.25">
      <c r="B7" s="32" t="s">
        <v>156</v>
      </c>
      <c r="C7" s="31"/>
      <c r="D7" s="30"/>
      <c r="E7" s="47"/>
    </row>
    <row r="9" spans="1:5" ht="13" customHeight="1" x14ac:dyDescent="0.3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ht="13.25" customHeight="1" x14ac:dyDescent="0.25">
      <c r="B10" s="32" t="s">
        <v>109</v>
      </c>
      <c r="C10" s="47"/>
      <c r="D10" s="47"/>
      <c r="E10" s="38" t="str">
        <f>IF(E$7="","",E$7)</f>
        <v/>
      </c>
    </row>
    <row r="11" spans="1:5" ht="13.25" customHeight="1" x14ac:dyDescent="0.25">
      <c r="B11" s="32" t="s">
        <v>96</v>
      </c>
      <c r="C11" s="47"/>
      <c r="D11" s="47"/>
      <c r="E11" s="38" t="str">
        <f>IF(E$7="","",E$7)</f>
        <v/>
      </c>
    </row>
    <row r="12" spans="1:5" ht="13.25" customHeight="1" x14ac:dyDescent="0.25">
      <c r="B12" s="32" t="s">
        <v>97</v>
      </c>
      <c r="C12" s="47"/>
      <c r="D12" s="47" t="s">
        <v>5</v>
      </c>
      <c r="E12" s="38" t="str">
        <f>IF(E$7="","",E$7)</f>
        <v/>
      </c>
    </row>
    <row r="13" spans="1:5" ht="13.25" customHeight="1" x14ac:dyDescent="0.25">
      <c r="B13" s="32" t="s">
        <v>98</v>
      </c>
      <c r="C13" s="47"/>
      <c r="D13" s="47" t="s">
        <v>5</v>
      </c>
      <c r="E13" s="38" t="str">
        <f>IF(E$7="","",E$7)</f>
        <v/>
      </c>
    </row>
    <row r="14" spans="1:5" ht="13.25" customHeight="1" x14ac:dyDescent="0.25">
      <c r="B14" s="32" t="s">
        <v>156</v>
      </c>
      <c r="C14" s="31"/>
      <c r="D14" s="30"/>
      <c r="E14" s="47"/>
    </row>
    <row r="16" spans="1:5" ht="13" customHeight="1" x14ac:dyDescent="0.3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ht="13.25" customHeight="1" x14ac:dyDescent="0.25">
      <c r="B17" s="32" t="s">
        <v>109</v>
      </c>
      <c r="C17" s="47"/>
      <c r="D17" s="47" t="s">
        <v>5</v>
      </c>
      <c r="E17" s="38" t="str">
        <f>IF(E$7="","",E$7)</f>
        <v/>
      </c>
    </row>
    <row r="18" spans="2:5" ht="13.25" customHeight="1" x14ac:dyDescent="0.25">
      <c r="B18" s="32" t="s">
        <v>96</v>
      </c>
      <c r="C18" s="47"/>
      <c r="D18" s="47" t="s">
        <v>5</v>
      </c>
      <c r="E18" s="38" t="str">
        <f>IF(E$7="","",E$7)</f>
        <v/>
      </c>
    </row>
    <row r="19" spans="2:5" ht="13.25" customHeight="1" x14ac:dyDescent="0.25">
      <c r="B19" s="32" t="s">
        <v>97</v>
      </c>
      <c r="C19" s="47"/>
      <c r="D19" s="47" t="s">
        <v>5</v>
      </c>
      <c r="E19" s="38" t="str">
        <f>IF(E$7="","",E$7)</f>
        <v/>
      </c>
    </row>
    <row r="20" spans="2:5" ht="13.25" customHeight="1" x14ac:dyDescent="0.25">
      <c r="B20" s="32" t="s">
        <v>98</v>
      </c>
      <c r="C20" s="47"/>
      <c r="D20" s="47" t="s">
        <v>5</v>
      </c>
      <c r="E20" s="38" t="str">
        <f>IF(E$7="","",E$7)</f>
        <v/>
      </c>
    </row>
    <row r="21" spans="2:5" ht="13.25" customHeight="1" x14ac:dyDescent="0.25">
      <c r="B21" s="32" t="s">
        <v>156</v>
      </c>
      <c r="C21" s="31"/>
      <c r="D21" s="30"/>
      <c r="E21" s="47"/>
    </row>
  </sheetData>
  <sheetProtection algorithmName="SHA-512" hashValue="oKzCSOZ9eO0tsSts8SWYq//OwNjNku16bzGPHfxb5VlyaCHvjWr7+wJnI+CMeUKM3ZbBkQfKxtwfrs68yBfEyg==" saltValue="CotHqQHxPA7H7XUEHRHL5g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162</v>
      </c>
      <c r="C1" s="40" t="s">
        <v>6</v>
      </c>
      <c r="D1" s="40" t="s">
        <v>163</v>
      </c>
    </row>
    <row r="2" spans="1:4" ht="13" customHeight="1" x14ac:dyDescent="0.3">
      <c r="A2" s="40" t="s">
        <v>160</v>
      </c>
      <c r="B2" s="32" t="s">
        <v>161</v>
      </c>
      <c r="C2" s="32" t="s">
        <v>165</v>
      </c>
      <c r="D2" s="47"/>
    </row>
    <row r="3" spans="1:4" ht="13" customHeight="1" x14ac:dyDescent="0.3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+KWhBFwLPCTuX3x4EaPhmMMZGQQ6HElNf5tb3kIIsNMjffzmFFrr15pV5IsbQb7SW6+2oHozNxqvGLa1RCfPig==" saltValue="34m/UaOIOAew8yTzS2EuT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2024-03-18T01:45:11Z</dcterms:modified>
</cp:coreProperties>
</file>