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BC6849FA-05FF-4C3D-BA4A-4176CC9FDBFA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A40" i="2"/>
  <c r="H39" i="2"/>
  <c r="G39" i="2"/>
  <c r="I39" i="2" s="1"/>
  <c r="A39" i="2"/>
  <c r="H38" i="2"/>
  <c r="I38" i="2" s="1"/>
  <c r="G38" i="2"/>
  <c r="A38" i="2"/>
  <c r="A37" i="2"/>
  <c r="A35" i="2"/>
  <c r="A34" i="2"/>
  <c r="A33" i="2"/>
  <c r="A27" i="2"/>
  <c r="A26" i="2"/>
  <c r="A25" i="2"/>
  <c r="A24" i="2"/>
  <c r="A22" i="2"/>
  <c r="A17" i="2"/>
  <c r="A16" i="2"/>
  <c r="A14" i="2"/>
  <c r="A13" i="2"/>
  <c r="I11" i="2"/>
  <c r="H11" i="2"/>
  <c r="G11" i="2"/>
  <c r="H10" i="2"/>
  <c r="G10" i="2"/>
  <c r="I10" i="2" s="1"/>
  <c r="H9" i="2"/>
  <c r="I9" i="2" s="1"/>
  <c r="G9" i="2"/>
  <c r="H8" i="2"/>
  <c r="G8" i="2"/>
  <c r="I7" i="2"/>
  <c r="H7" i="2"/>
  <c r="G7" i="2"/>
  <c r="H6" i="2"/>
  <c r="G6" i="2"/>
  <c r="I6" i="2" s="1"/>
  <c r="H5" i="2"/>
  <c r="I5" i="2" s="1"/>
  <c r="G5" i="2"/>
  <c r="H4" i="2"/>
  <c r="G4" i="2"/>
  <c r="H3" i="2"/>
  <c r="I3" i="2" s="1"/>
  <c r="G3" i="2"/>
  <c r="A3" i="2"/>
  <c r="H2" i="2"/>
  <c r="G2" i="2"/>
  <c r="A2" i="2"/>
  <c r="A31" i="2" s="1"/>
  <c r="C33" i="1"/>
  <c r="C20" i="1"/>
  <c r="I4" i="2" l="1"/>
  <c r="A18" i="2"/>
  <c r="A29" i="2"/>
  <c r="A19" i="2"/>
  <c r="A30" i="2"/>
  <c r="I2" i="2"/>
  <c r="I8" i="2"/>
  <c r="A21" i="2"/>
  <c r="A32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<sst xmlns="http://schemas.openxmlformats.org/spreadsheetml/2006/main" count="2092" uniqueCount="337">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</sst>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376515.01953125</v>
      </c>
    </row>
    <row r="8" spans="1:3" ht="15" customHeight="1" x14ac:dyDescent="0.25">
      <c r="B8" s="5" t="s">
        <v>19</v>
      </c>
      <c r="C8" s="44">
        <v>5.0000000000000001E-3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0.81408699039999999</v>
      </c>
    </row>
    <row r="11" spans="1:3" ht="15" customHeight="1" x14ac:dyDescent="0.25">
      <c r="B11" s="5" t="s">
        <v>22</v>
      </c>
      <c r="C11" s="45">
        <v>0.89599999999999991</v>
      </c>
    </row>
    <row r="12" spans="1:3" ht="15" customHeight="1" x14ac:dyDescent="0.25">
      <c r="B12" s="5" t="s">
        <v>23</v>
      </c>
      <c r="C12" s="45">
        <v>0.70299999999999996</v>
      </c>
    </row>
    <row r="13" spans="1:3" ht="15" customHeight="1" x14ac:dyDescent="0.25">
      <c r="B13" s="5" t="s">
        <v>24</v>
      </c>
      <c r="C13" s="45">
        <v>0.317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7.1399999999999991E-2</v>
      </c>
    </row>
    <row r="24" spans="1:3" ht="15" customHeight="1" x14ac:dyDescent="0.25">
      <c r="B24" s="15" t="s">
        <v>33</v>
      </c>
      <c r="C24" s="45">
        <v>0.52029999999999998</v>
      </c>
    </row>
    <row r="25" spans="1:3" ht="15" customHeight="1" x14ac:dyDescent="0.25">
      <c r="B25" s="15" t="s">
        <v>34</v>
      </c>
      <c r="C25" s="45">
        <v>0.36659999999999998</v>
      </c>
    </row>
    <row r="26" spans="1:3" ht="15" customHeight="1" x14ac:dyDescent="0.25">
      <c r="B26" s="15" t="s">
        <v>35</v>
      </c>
      <c r="C26" s="45">
        <v>4.1700000000000001E-2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0.35675533525383901</v>
      </c>
    </row>
    <row r="30" spans="1:3" ht="14.25" customHeight="1" x14ac:dyDescent="0.25">
      <c r="B30" s="25" t="s">
        <v>38</v>
      </c>
      <c r="C30" s="99">
        <v>6.5910586704521698E-2</v>
      </c>
    </row>
    <row r="31" spans="1:3" ht="14.25" customHeight="1" x14ac:dyDescent="0.25">
      <c r="B31" s="25" t="s">
        <v>39</v>
      </c>
      <c r="C31" s="99">
        <v>9.262041217609189E-2</v>
      </c>
    </row>
    <row r="32" spans="1:3" ht="14.25" customHeight="1" x14ac:dyDescent="0.25">
      <c r="B32" s="25" t="s">
        <v>40</v>
      </c>
      <c r="C32" s="99">
        <v>0.48471366586554798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8.1362855927762894</v>
      </c>
    </row>
    <row r="38" spans="1:5" ht="15" customHeight="1" x14ac:dyDescent="0.25">
      <c r="B38" s="11" t="s">
        <v>45</v>
      </c>
      <c r="C38" s="43">
        <v>13.4465395041529</v>
      </c>
      <c r="D38" s="12"/>
      <c r="E38" s="13"/>
    </row>
    <row r="39" spans="1:5" ht="15" customHeight="1" x14ac:dyDescent="0.25">
      <c r="B39" s="11" t="s">
        <v>46</v>
      </c>
      <c r="C39" s="43">
        <v>15.630880923074001</v>
      </c>
      <c r="D39" s="12"/>
      <c r="E39" s="12"/>
    </row>
    <row r="40" spans="1:5" ht="15" customHeight="1" x14ac:dyDescent="0.25">
      <c r="B40" s="11" t="s">
        <v>47</v>
      </c>
      <c r="C40" s="100">
        <v>0.45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5.230393168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4.8123999999999997E-3</v>
      </c>
      <c r="D45" s="12"/>
    </row>
    <row r="46" spans="1:5" ht="15.75" customHeight="1" x14ac:dyDescent="0.25">
      <c r="B46" s="11" t="s">
        <v>52</v>
      </c>
      <c r="C46" s="45">
        <v>5.6891800000000013E-2</v>
      </c>
      <c r="D46" s="12"/>
    </row>
    <row r="47" spans="1:5" ht="15.75" customHeight="1" x14ac:dyDescent="0.25">
      <c r="B47" s="11" t="s">
        <v>53</v>
      </c>
      <c r="C47" s="45">
        <v>9.0186700000000009E-2</v>
      </c>
      <c r="D47" s="12"/>
      <c r="E47" s="13"/>
    </row>
    <row r="48" spans="1:5" ht="15" customHeight="1" x14ac:dyDescent="0.25">
      <c r="B48" s="11" t="s">
        <v>54</v>
      </c>
      <c r="C48" s="46">
        <v>0.84810910000000006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2.2000000000000002</v>
      </c>
      <c r="D51" s="12"/>
    </row>
    <row r="52" spans="1:4" ht="15" customHeight="1" x14ac:dyDescent="0.25">
      <c r="B52" s="11" t="s">
        <v>57</v>
      </c>
      <c r="C52" s="100">
        <v>2.2000000000000002</v>
      </c>
    </row>
    <row r="53" spans="1:4" ht="15.75" customHeight="1" x14ac:dyDescent="0.25">
      <c r="B53" s="11" t="s">
        <v>58</v>
      </c>
      <c r="C53" s="100">
        <v>2.2000000000000002</v>
      </c>
    </row>
    <row r="54" spans="1:4" ht="15.75" customHeight="1" x14ac:dyDescent="0.25">
      <c r="B54" s="11" t="s">
        <v>59</v>
      </c>
      <c r="C54" s="100">
        <v>2.2000000000000002</v>
      </c>
    </row>
    <row r="55" spans="1:4" ht="15.75" customHeight="1" x14ac:dyDescent="0.25">
      <c r="B55" s="11" t="s">
        <v>60</v>
      </c>
      <c r="C55" s="100">
        <v>2.2000000000000002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2.1363636363636359E-2</v>
      </c>
    </row>
    <row r="59" spans="1:4" ht="15.75" customHeight="1" x14ac:dyDescent="0.25">
      <c r="B59" s="11" t="s">
        <v>63</v>
      </c>
      <c r="C59" s="45">
        <v>0.58909100000000003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5.3733958999999998E-2</v>
      </c>
    </row>
    <row r="63" spans="1:4" ht="15.75" customHeight="1" x14ac:dyDescent="0.3">
      <c r="A63" s="4"/>
    </row>
  </sheetData>
  <sheetProtection algorithmName="SHA-512" hashValue="XBj2M8k31jujU63L2ZTc7DA8ycnVHnDawVHP0aLS6ryV04T9axIOmhZO83qFB19PWSW+iOcrzDDLFu6GR/X5DA==" saltValue="T5rOjScXIvF0I8cwojUm1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0.529396294657698</v>
      </c>
      <c r="C2" s="98">
        <v>0.95</v>
      </c>
      <c r="D2" s="56">
        <v>55.159498129923833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39.815804482761187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369.40825523463701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2.421950972929686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12.948103926557099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12.948103926557099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12.948103926557099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12.948103926557099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12.948103926557099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12.948103926557099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0.62215034013593407</v>
      </c>
      <c r="C16" s="98">
        <v>0.95</v>
      </c>
      <c r="D16" s="56">
        <v>0.65486972645244557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8.5297262743193443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8.5297262743193443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0.50568460000000004</v>
      </c>
      <c r="C21" s="98">
        <v>0.95</v>
      </c>
      <c r="D21" s="56">
        <v>19.502352360317879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22.31069666521422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8.8149681090000001E-2</v>
      </c>
      <c r="C23" s="98">
        <v>0.95</v>
      </c>
      <c r="D23" s="56">
        <v>4.2392904639519244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0.86140611357519803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0.55257206113936497</v>
      </c>
      <c r="C27" s="98">
        <v>0.95</v>
      </c>
      <c r="D27" s="56">
        <v>18.500074668290559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0.58242249999999995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107.0978840973747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0.56750055122199738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0.47777259999999999</v>
      </c>
      <c r="C32" s="98">
        <v>0.95</v>
      </c>
      <c r="D32" s="56">
        <v>1.3995185494692861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0.58479392767034499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0.83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0.16494010000000001</v>
      </c>
      <c r="C38" s="98">
        <v>0.95</v>
      </c>
      <c r="D38" s="56">
        <v>2.715482431759646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0.39210790000000001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TmcRvd3MyDsOTfR8vChailRD1sBiclgO4uH48dfHluiksET7BdNz4Ec4MYSN8RJ7ioD88MeGDTyQMos8RNrOmQ==" saltValue="ymk3lswD0AXv0BehhAp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utKjdZVfvNuPbF5RkFUzDGajm66itfYEF7crACjzp7EtdilsMO3ceEK4QF5Bvgd1yzObJvCeHMMuoF/wvtq4jg==" saltValue="CmG6qyx++b/x0hIKpnS2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QrbSQCJkbEmq/heyQ3zZ/uva5Qtt6mzhGEoJ6dn89rXaDjg4xc6lqikK+lqklypvYYlfJc6KUltTJvtC5y2YXg==" saltValue="iZ0ukTgvykgWns7pBS+gZ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2.2000000000000002</v>
      </c>
      <c r="C2" s="21">
        <f>'Données pop de l''année de ref'!C52</f>
        <v>2.2000000000000002</v>
      </c>
      <c r="D2" s="21">
        <f>'Données pop de l''année de ref'!C53</f>
        <v>2.2000000000000002</v>
      </c>
      <c r="E2" s="21">
        <f>'Données pop de l''année de ref'!C54</f>
        <v>2.2000000000000002</v>
      </c>
      <c r="F2" s="21">
        <f>'Données pop de l''année de ref'!C55</f>
        <v>2.2000000000000002</v>
      </c>
    </row>
    <row r="3" spans="1:6" ht="15.75" customHeight="1" x14ac:dyDescent="0.25">
      <c r="A3" s="3" t="s">
        <v>209</v>
      </c>
      <c r="B3" s="21">
        <f>frac_mam_1month * 2.6</f>
        <v>6.9472197599999994E-2</v>
      </c>
      <c r="C3" s="21">
        <f>frac_mam_1_5months * 2.6</f>
        <v>6.9472197599999994E-2</v>
      </c>
      <c r="D3" s="21">
        <f>frac_mam_6_11months * 2.6</f>
        <v>7.4787765000000001E-3</v>
      </c>
      <c r="E3" s="21">
        <f>frac_mam_12_23months * 2.6</f>
        <v>6.7163199999999996E-3</v>
      </c>
      <c r="F3" s="21">
        <f>frac_mam_24_59months * 2.6</f>
        <v>9.9502270400000006E-3</v>
      </c>
    </row>
    <row r="4" spans="1:6" ht="15.75" customHeight="1" x14ac:dyDescent="0.25">
      <c r="A4" s="3" t="s">
        <v>208</v>
      </c>
      <c r="B4" s="21">
        <f>frac_sam_1month * 2.6</f>
        <v>1.9541222480000002E-2</v>
      </c>
      <c r="C4" s="21">
        <f>frac_sam_1_5months * 2.6</f>
        <v>1.9541222480000002E-2</v>
      </c>
      <c r="D4" s="21">
        <f>frac_sam_6_11months * 2.6</f>
        <v>1.8036372380000002E-2</v>
      </c>
      <c r="E4" s="21">
        <f>frac_sam_12_23months * 2.6</f>
        <v>1.0243046840000001E-2</v>
      </c>
      <c r="F4" s="21">
        <f>frac_sam_24_59months * 2.6</f>
        <v>4.8529179400000006E-3</v>
      </c>
    </row>
  </sheetData>
  <sheetProtection algorithmName="SHA-512" hashValue="CsL7lFo0XGObMy1Vm7+FyeVlZkNFXHl0XUSoYFL71MSdT5O14cm16rsaFbLFQZGzCkxt7bSTUPIWke5BIprk5Q==" saltValue="v3iTqUzWur21NKWySUgnM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5.0000000000000001E-3</v>
      </c>
      <c r="E2" s="60">
        <f>food_insecure</f>
        <v>5.0000000000000001E-3</v>
      </c>
      <c r="F2" s="60">
        <f>food_insecure</f>
        <v>5.0000000000000001E-3</v>
      </c>
      <c r="G2" s="60">
        <f>food_insecure</f>
        <v>5.0000000000000001E-3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5.0000000000000001E-3</v>
      </c>
      <c r="F5" s="60">
        <f>food_insecure</f>
        <v>5.0000000000000001E-3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5.0000000000000001E-3</v>
      </c>
      <c r="F8" s="60">
        <f>food_insecure</f>
        <v>5.0000000000000001E-3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5.0000000000000001E-3</v>
      </c>
      <c r="F9" s="60">
        <f>food_insecure</f>
        <v>5.0000000000000001E-3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0.70299999999999996</v>
      </c>
      <c r="E10" s="60">
        <f>IF(ISBLANK(comm_deliv), frac_children_health_facility,1)</f>
        <v>0.70299999999999996</v>
      </c>
      <c r="F10" s="60">
        <f>IF(ISBLANK(comm_deliv), frac_children_health_facility,1)</f>
        <v>0.70299999999999996</v>
      </c>
      <c r="G10" s="60">
        <f>IF(ISBLANK(comm_deliv), frac_children_health_facility,1)</f>
        <v>0.70299999999999996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5.0000000000000001E-3</v>
      </c>
      <c r="I15" s="60">
        <f>food_insecure</f>
        <v>5.0000000000000001E-3</v>
      </c>
      <c r="J15" s="60">
        <f>food_insecure</f>
        <v>5.0000000000000001E-3</v>
      </c>
      <c r="K15" s="60">
        <f>food_insecure</f>
        <v>5.0000000000000001E-3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0.89599999999999991</v>
      </c>
      <c r="I18" s="60">
        <f>frac_PW_health_facility</f>
        <v>0.89599999999999991</v>
      </c>
      <c r="J18" s="60">
        <f>frac_PW_health_facility</f>
        <v>0.89599999999999991</v>
      </c>
      <c r="K18" s="60">
        <f>frac_PW_health_facility</f>
        <v>0.89599999999999991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0.317</v>
      </c>
      <c r="M24" s="60">
        <f>famplan_unmet_need</f>
        <v>0.317</v>
      </c>
      <c r="N24" s="60">
        <f>famplan_unmet_need</f>
        <v>0.317</v>
      </c>
      <c r="O24" s="60">
        <f>famplan_unmet_need</f>
        <v>0.317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9.1292583364080013E-2</v>
      </c>
      <c r="M25" s="60">
        <f>(1-food_insecure)*(0.49)+food_insecure*(0.7)</f>
        <v>0.49104999999999999</v>
      </c>
      <c r="N25" s="60">
        <f>(1-food_insecure)*(0.49)+food_insecure*(0.7)</f>
        <v>0.49104999999999999</v>
      </c>
      <c r="O25" s="60">
        <f>(1-food_insecure)*(0.49)+food_insecure*(0.7)</f>
        <v>0.49104999999999999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3.9125392870320005E-2</v>
      </c>
      <c r="M26" s="60">
        <f>(1-food_insecure)*(0.21)+food_insecure*(0.3)</f>
        <v>0.21045</v>
      </c>
      <c r="N26" s="60">
        <f>(1-food_insecure)*(0.21)+food_insecure*(0.3)</f>
        <v>0.21045</v>
      </c>
      <c r="O26" s="60">
        <f>(1-food_insecure)*(0.21)+food_insecure*(0.3)</f>
        <v>0.21045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5.5495033365600001E-2</v>
      </c>
      <c r="M27" s="60">
        <f>(1-food_insecure)*(0.3)</f>
        <v>0.29849999999999999</v>
      </c>
      <c r="N27" s="60">
        <f>(1-food_insecure)*(0.3)</f>
        <v>0.29849999999999999</v>
      </c>
      <c r="O27" s="60">
        <f>(1-food_insecure)*(0.3)</f>
        <v>0.29849999999999999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I0EcBq5uvg4WnRP2QDI8tbOeZyVk+Bkg5vBoDDc6ZLoVFs9ZrvOiROZ58E7oj5md0tfZLL19qFeBsimjg1Bccg==" saltValue="rtmf2hDmpuMLoYXdQvCk9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5WxzXC+WO58ZtAGyQG5snxZRLKgHdKwu9XSrkKnxEv0zP5i9qPwruSCIhWbgKu8NNeTpu6+TqIZ/r+Uts43D9A==" saltValue="EmJ0s8ZLzQdiV+fCrWwzy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cXDWUkmbiBogS/Or4FBDTsuh/MK2VpQUJ+oDFckvO47YQF702Bj8xRhszc53y6yWbykSo4qlFaQpqripDg2qg==" saltValue="YxgIc1FE6LMsb1QgrD3oE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BbtX/ktfn6q1jBMa68cxsiXKzd6j4A2PvOM8oMO4kBLf8SwJ1wePVkrgi6OxecI8YLqsXDFYkKIUFZjYoj6BPg==" saltValue="dx3r4JBtSbQbYeHev1nEl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zsmqFgyFwHVPybiLDYm5DaiooCCOyZEcfpOsYTS0t1CohSqLN5SvcYaQ9NnD/Jx5143RTHkdGgoLMo7rotZ1mg==" saltValue="WFvifMnYgJ9899i9ayd3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RlsIx4Td6VAeo+mOtKOlDoOGxamaLdOrINo24AO3dr/NmENcJqmFQOHRFntP8SAJeLYreRGtNGvIuQ0QFzCxDA==" saltValue="42BPss7X4Xc6R4ZTiNuyB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65339.898400000013</v>
      </c>
      <c r="C2" s="49">
        <v>111000</v>
      </c>
      <c r="D2" s="49">
        <v>235000</v>
      </c>
      <c r="E2" s="49">
        <v>282000</v>
      </c>
      <c r="F2" s="49">
        <v>216000</v>
      </c>
      <c r="G2" s="17">
        <f t="shared" ref="G2:G11" si="0">C2+D2+E2+F2</f>
        <v>844000</v>
      </c>
      <c r="H2" s="17">
        <f t="shared" ref="H2:H11" si="1">(B2 + stillbirth*B2/(1000-stillbirth))/(1-abortion)</f>
        <v>74640.282569463467</v>
      </c>
      <c r="I2" s="17">
        <f t="shared" ref="I2:I11" si="2">G2-H2</f>
        <v>769359.71743053652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64272.571800000012</v>
      </c>
      <c r="C3" s="50">
        <v>115000</v>
      </c>
      <c r="D3" s="50">
        <v>228000</v>
      </c>
      <c r="E3" s="50">
        <v>285000</v>
      </c>
      <c r="F3" s="50">
        <v>220000</v>
      </c>
      <c r="G3" s="17">
        <f t="shared" si="0"/>
        <v>848000</v>
      </c>
      <c r="H3" s="17">
        <f t="shared" si="1"/>
        <v>73421.034285203743</v>
      </c>
      <c r="I3" s="17">
        <f t="shared" si="2"/>
        <v>774578.96571479621</v>
      </c>
    </row>
    <row r="4" spans="1:9" ht="15.75" customHeight="1" x14ac:dyDescent="0.25">
      <c r="A4" s="5">
        <f t="shared" si="3"/>
        <v>2023</v>
      </c>
      <c r="B4" s="49">
        <v>63140.796000000009</v>
      </c>
      <c r="C4" s="50">
        <v>121000</v>
      </c>
      <c r="D4" s="50">
        <v>221000</v>
      </c>
      <c r="E4" s="50">
        <v>285000</v>
      </c>
      <c r="F4" s="50">
        <v>222000</v>
      </c>
      <c r="G4" s="17">
        <f t="shared" si="0"/>
        <v>849000</v>
      </c>
      <c r="H4" s="17">
        <f t="shared" si="1"/>
        <v>72128.163197462956</v>
      </c>
      <c r="I4" s="17">
        <f t="shared" si="2"/>
        <v>776871.83680253709</v>
      </c>
    </row>
    <row r="5" spans="1:9" ht="15.75" customHeight="1" x14ac:dyDescent="0.25">
      <c r="A5" s="5">
        <f t="shared" si="3"/>
        <v>2024</v>
      </c>
      <c r="B5" s="49">
        <v>61927.8842</v>
      </c>
      <c r="C5" s="50">
        <v>128000</v>
      </c>
      <c r="D5" s="50">
        <v>217000</v>
      </c>
      <c r="E5" s="50">
        <v>284000</v>
      </c>
      <c r="F5" s="50">
        <v>227000</v>
      </c>
      <c r="G5" s="17">
        <f t="shared" si="0"/>
        <v>856000</v>
      </c>
      <c r="H5" s="17">
        <f t="shared" si="1"/>
        <v>70742.607331893421</v>
      </c>
      <c r="I5" s="17">
        <f t="shared" si="2"/>
        <v>785257.39266810659</v>
      </c>
    </row>
    <row r="6" spans="1:9" ht="15.75" customHeight="1" x14ac:dyDescent="0.25">
      <c r="A6" s="5">
        <f t="shared" si="3"/>
        <v>2025</v>
      </c>
      <c r="B6" s="49">
        <v>60637.248000000007</v>
      </c>
      <c r="C6" s="50">
        <v>136000</v>
      </c>
      <c r="D6" s="50">
        <v>214000</v>
      </c>
      <c r="E6" s="50">
        <v>281000</v>
      </c>
      <c r="F6" s="50">
        <v>232000</v>
      </c>
      <c r="G6" s="17">
        <f t="shared" si="0"/>
        <v>863000</v>
      </c>
      <c r="H6" s="17">
        <f t="shared" si="1"/>
        <v>69268.263890576141</v>
      </c>
      <c r="I6" s="17">
        <f t="shared" si="2"/>
        <v>793731.73610942392</v>
      </c>
    </row>
    <row r="7" spans="1:9" ht="15.75" customHeight="1" x14ac:dyDescent="0.25">
      <c r="A7" s="5">
        <f t="shared" si="3"/>
        <v>2026</v>
      </c>
      <c r="B7" s="49">
        <v>60106.635199999997</v>
      </c>
      <c r="C7" s="50">
        <v>144000</v>
      </c>
      <c r="D7" s="50">
        <v>214000</v>
      </c>
      <c r="E7" s="50">
        <v>275000</v>
      </c>
      <c r="F7" s="50">
        <v>239000</v>
      </c>
      <c r="G7" s="17">
        <f t="shared" si="0"/>
        <v>872000</v>
      </c>
      <c r="H7" s="17">
        <f t="shared" si="1"/>
        <v>68662.124452089105</v>
      </c>
      <c r="I7" s="17">
        <f t="shared" si="2"/>
        <v>803337.87554791092</v>
      </c>
    </row>
    <row r="8" spans="1:9" ht="15.75" customHeight="1" x14ac:dyDescent="0.25">
      <c r="A8" s="5">
        <f t="shared" si="3"/>
        <v>2027</v>
      </c>
      <c r="B8" s="49">
        <v>59536.365600000012</v>
      </c>
      <c r="C8" s="50">
        <v>154000</v>
      </c>
      <c r="D8" s="50">
        <v>216000</v>
      </c>
      <c r="E8" s="50">
        <v>266000</v>
      </c>
      <c r="F8" s="50">
        <v>247000</v>
      </c>
      <c r="G8" s="17">
        <f t="shared" si="0"/>
        <v>883000</v>
      </c>
      <c r="H8" s="17">
        <f t="shared" si="1"/>
        <v>68010.683523543485</v>
      </c>
      <c r="I8" s="17">
        <f t="shared" si="2"/>
        <v>814989.31647645647</v>
      </c>
    </row>
    <row r="9" spans="1:9" ht="15.75" customHeight="1" x14ac:dyDescent="0.25">
      <c r="A9" s="5">
        <f t="shared" si="3"/>
        <v>2028</v>
      </c>
      <c r="B9" s="49">
        <v>58927.431600000011</v>
      </c>
      <c r="C9" s="50">
        <v>163000</v>
      </c>
      <c r="D9" s="50">
        <v>221000</v>
      </c>
      <c r="E9" s="50">
        <v>256000</v>
      </c>
      <c r="F9" s="50">
        <v>256000</v>
      </c>
      <c r="G9" s="17">
        <f t="shared" si="0"/>
        <v>896000</v>
      </c>
      <c r="H9" s="17">
        <f t="shared" si="1"/>
        <v>67315.074761682379</v>
      </c>
      <c r="I9" s="17">
        <f t="shared" si="2"/>
        <v>828684.92523831758</v>
      </c>
    </row>
    <row r="10" spans="1:9" ht="15.75" customHeight="1" x14ac:dyDescent="0.25">
      <c r="A10" s="5">
        <f t="shared" si="3"/>
        <v>2029</v>
      </c>
      <c r="B10" s="49">
        <v>58264.324800000002</v>
      </c>
      <c r="C10" s="50">
        <v>170000</v>
      </c>
      <c r="D10" s="50">
        <v>228000</v>
      </c>
      <c r="E10" s="50">
        <v>245000</v>
      </c>
      <c r="F10" s="50">
        <v>264000</v>
      </c>
      <c r="G10" s="17">
        <f t="shared" si="0"/>
        <v>907000</v>
      </c>
      <c r="H10" s="17">
        <f t="shared" si="1"/>
        <v>66557.582323865339</v>
      </c>
      <c r="I10" s="17">
        <f t="shared" si="2"/>
        <v>840442.41767613462</v>
      </c>
    </row>
    <row r="11" spans="1:9" ht="15.75" customHeight="1" x14ac:dyDescent="0.25">
      <c r="A11" s="5">
        <f t="shared" si="3"/>
        <v>2030</v>
      </c>
      <c r="B11" s="49">
        <v>57581.37000000001</v>
      </c>
      <c r="C11" s="50">
        <v>175000</v>
      </c>
      <c r="D11" s="50">
        <v>237000</v>
      </c>
      <c r="E11" s="50">
        <v>236000</v>
      </c>
      <c r="F11" s="50">
        <v>270000</v>
      </c>
      <c r="G11" s="17">
        <f t="shared" si="0"/>
        <v>918000</v>
      </c>
      <c r="H11" s="17">
        <f t="shared" si="1"/>
        <v>65777.416751184093</v>
      </c>
      <c r="I11" s="17">
        <f t="shared" si="2"/>
        <v>852222.58324881596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on5RfRvrJfIiYLug9tknl+Zi0eTSmsXvo5e2yN0qIkPhCxs358wFqEOcQGl3GZK4Tp5JXAoeWa8+9SGxAEMEbQ==" saltValue="zdpqlZEs9l1hBQGADCfzT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3.1988831369945343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3.1988831369945343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9.2284118164441651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9.2284118164441651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2.0710619560188506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2.0710619560188506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5.988904611353381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5.988904611353381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5Ai0D23+1R6A4rMN/jEPK2VV56vXb+EvtTc7MxB5jqJON7CogoMrhd8xxXoCGduk48Qyt6orm3Zms6TmF8F1NQ==" saltValue="UYtzBkBoX2lR/cF2BjMTt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5cWK2qzt+JSIWktZsNIxsh26X5dQNYi0KM5sU1lVZvWY54XpdvXxL/7IHBar+tKTctyib5qEmD5DXf7vpIwUzw==" saltValue="C8m4CP6BC97OJxCv+7V3P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SV742xTT6GsCpBmhZRe6sA86gG6XidXfaZLqMjV9S9XBCAIFfbU49M/CDbVXVXoae5SKH6FfC3zCDj1HESAwIA==" saltValue="RR8mltXaHAgGJVK87enUG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0.62772933400592412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0.61370262669975939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0.8743031276508324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0.86760757020358403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0.8743031276508324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0.86760757020358403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0.42701551027072049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0.412504085437148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0.84313278810953762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0.83509004090527883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0.84313278810953762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0.83509004090527883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0.91602086600724042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0.91132211709085686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0.90557452474976907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0.90035486933270259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0.90557452474976907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0.90035486933270259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nCN/c5ZTPYiip2n+JcHP1ihFlyMpgxajr7tIWOhj6G0YGBESghMHlR8ShRrVyPog35u1r5OZQzkEH9nJjNk1SQ==" saltValue="3suUVTpOqirBwfYGjjFPL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OKYag5BG3BQ1LN/V1x3wXqumr8arHm2KqVqigi4J5+JK1PGeDd27scMVcM/lUfEbcXYrFcVqZfdCmC3uGiu3Og==" saltValue="y6lkj7vz4lauM/bEgi8Ej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0.62207089011585537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0.65326290671213738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0.65326290671213738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0.64187045942903931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0.64187045942903931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0.64187045942903931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0.64187045942903931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0.67589591628854528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0.67589591628854528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0.67589591628854528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0.67589591628854528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0.71913604982927615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0.74559319907762878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0.74559319907762878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0.73600844772967267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0.73600844772967267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0.73600844772967267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0.73600844772967267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0.76437323279924596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0.76437323279924596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0.76437323279924596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0.76437323279924596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0.42903937795445662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0.46239461523689757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0.46239461523689757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0.45001076065903062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0.45001076065903062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0.45001076065903062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0.45001076065903062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0.48771632848519952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0.48771632848519952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0.48771632848519952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0.48771632848519952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0.59897201653871379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0.63093942682459947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0.63093942682459947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0.61924102043406515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0.61924102043406515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0.61924102043406515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0.61924102043406515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0.65425838423418226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0.65425838423418226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0.65425838423418226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0.65425838423418226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0.95391049152541696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0.95949765144606536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0.95949765144606536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0.95751249840671881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0.95751249840671881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0.95751249840671881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0.95751249840671881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0.96326545605936298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0.96326545605936298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0.96326545605936298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0.96326545605936298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0.88040098323244087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0.89390819275379751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0.89390819275379751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0.88907991791913932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0.88907991791913932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0.88907991791913932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0.88907991791913932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0.9031617682661115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0.9031617682661115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0.9031617682661115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0.9031617682661115</v>
      </c>
    </row>
  </sheetData>
  <sheetProtection algorithmName="SHA-512" hashValue="fqFKsGYmKxFwB1yRSyH/AoWbFVksFMjZh8p4gBYZ5fcM+NOLmSy2F9W0YgUZFhM4/mMXP/y7foFDs+F7eMtRSg==" saltValue="ZdTimx4aYDgdxL+V6u5xD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0.75046959829518867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0.75057875812668917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0.75114255103927474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0.75153100067543199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0.74679269286434591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0.75134191490939539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0.75139684837497922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0.75116368483757567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0.64763093850505959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0.64776397098276528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0.64845131627524144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0.64892514048850991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0.64315921235997309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0.64869447164591043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0.64876148094648112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0.64847708971851592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0.86116945671974177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0.86123914374163024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0.86159892283950212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0.86184666883976857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0.85881687603247447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0.86172608763715441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0.86176112183614428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0.86161240451106291</v>
      </c>
    </row>
  </sheetData>
  <sheetProtection algorithmName="SHA-512" hashValue="9RU2y+LngBl56e7WdPlMbOUeb6LaVSadIt3VCzu2zDVQbAnnGkz1ZnY1LyIgCdDynyWyi7WLCIvK3QIg2pGvPQ==" saltValue="ztrallz3sC86visb6J38g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3SGqKcB2CCG1fZxd4hoN27Bn0m9299G1HFO0/5NUB0U0tOelsRZHqEmsXARCj242c8qXmG5q7OaTEzYkdaBfYg==" saltValue="5aJLomEo6BiQh8vLcDzsQ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0bBR7FprsBPWqVD2Yc2ZGXdM+DiY8q1VBDfxa6DZppRuWrgZ58AkCTCwElliy1BxJsgOzkgKy+JTHAZlIG8yvA==" saltValue="wskKqIEsS6dy4DslEr+UJ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1.6385194441076219E-3</v>
      </c>
    </row>
    <row r="4" spans="1:8" ht="15.75" customHeight="1" x14ac:dyDescent="0.25">
      <c r="B4" s="19" t="s">
        <v>79</v>
      </c>
      <c r="C4" s="101">
        <v>0.1118869756131808</v>
      </c>
    </row>
    <row r="5" spans="1:8" ht="15.75" customHeight="1" x14ac:dyDescent="0.25">
      <c r="B5" s="19" t="s">
        <v>80</v>
      </c>
      <c r="C5" s="101">
        <v>5.2863040319249453E-2</v>
      </c>
    </row>
    <row r="6" spans="1:8" ht="15.75" customHeight="1" x14ac:dyDescent="0.25">
      <c r="B6" s="19" t="s">
        <v>81</v>
      </c>
      <c r="C6" s="101">
        <v>0.22337976979282501</v>
      </c>
    </row>
    <row r="7" spans="1:8" ht="15.75" customHeight="1" x14ac:dyDescent="0.25">
      <c r="B7" s="19" t="s">
        <v>82</v>
      </c>
      <c r="C7" s="101">
        <v>0.3004479003120496</v>
      </c>
    </row>
    <row r="8" spans="1:8" ht="15.75" customHeight="1" x14ac:dyDescent="0.25">
      <c r="B8" s="19" t="s">
        <v>83</v>
      </c>
      <c r="C8" s="101">
        <v>2.0953841413432579E-3</v>
      </c>
    </row>
    <row r="9" spans="1:8" ht="15.75" customHeight="1" x14ac:dyDescent="0.25">
      <c r="B9" s="19" t="s">
        <v>84</v>
      </c>
      <c r="C9" s="101">
        <v>0.22485833930304</v>
      </c>
    </row>
    <row r="10" spans="1:8" ht="15.75" customHeight="1" x14ac:dyDescent="0.25">
      <c r="B10" s="19" t="s">
        <v>85</v>
      </c>
      <c r="C10" s="101">
        <v>8.2830071074203995E-2</v>
      </c>
    </row>
    <row r="11" spans="1:8" ht="15.75" customHeight="1" x14ac:dyDescent="0.25">
      <c r="B11" s="27" t="s">
        <v>41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0.117126132164545</v>
      </c>
      <c r="D14" s="55">
        <v>0.117126132164545</v>
      </c>
      <c r="E14" s="55">
        <v>0.117126132164545</v>
      </c>
      <c r="F14" s="55">
        <v>0.117126132164545</v>
      </c>
    </row>
    <row r="15" spans="1:8" ht="15.75" customHeight="1" x14ac:dyDescent="0.25">
      <c r="B15" s="19" t="s">
        <v>88</v>
      </c>
      <c r="C15" s="101">
        <v>0.23830015273909191</v>
      </c>
      <c r="D15" s="101">
        <v>0.23830015273909191</v>
      </c>
      <c r="E15" s="101">
        <v>0.23830015273909191</v>
      </c>
      <c r="F15" s="101">
        <v>0.23830015273909191</v>
      </c>
    </row>
    <row r="16" spans="1:8" ht="15.75" customHeight="1" x14ac:dyDescent="0.25">
      <c r="B16" s="19" t="s">
        <v>89</v>
      </c>
      <c r="C16" s="101">
        <v>2.0149774729921199E-2</v>
      </c>
      <c r="D16" s="101">
        <v>2.0149774729921199E-2</v>
      </c>
      <c r="E16" s="101">
        <v>2.0149774729921199E-2</v>
      </c>
      <c r="F16" s="101">
        <v>2.0149774729921199E-2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4.3258216961886246E-3</v>
      </c>
      <c r="D19" s="101">
        <v>4.3258216961886246E-3</v>
      </c>
      <c r="E19" s="101">
        <v>4.3258216961886246E-3</v>
      </c>
      <c r="F19" s="101">
        <v>4.3258216961886246E-3</v>
      </c>
    </row>
    <row r="20" spans="1:8" ht="15.75" customHeight="1" x14ac:dyDescent="0.25">
      <c r="B20" s="19" t="s">
        <v>93</v>
      </c>
      <c r="C20" s="101">
        <v>1.4769424718398599E-3</v>
      </c>
      <c r="D20" s="101">
        <v>1.4769424718398599E-3</v>
      </c>
      <c r="E20" s="101">
        <v>1.4769424718398599E-3</v>
      </c>
      <c r="F20" s="101">
        <v>1.4769424718398599E-3</v>
      </c>
    </row>
    <row r="21" spans="1:8" ht="15.75" customHeight="1" x14ac:dyDescent="0.25">
      <c r="B21" s="19" t="s">
        <v>94</v>
      </c>
      <c r="C21" s="101">
        <v>0.1487564882759449</v>
      </c>
      <c r="D21" s="101">
        <v>0.1487564882759449</v>
      </c>
      <c r="E21" s="101">
        <v>0.1487564882759449</v>
      </c>
      <c r="F21" s="101">
        <v>0.1487564882759449</v>
      </c>
    </row>
    <row r="22" spans="1:8" ht="15.75" customHeight="1" x14ac:dyDescent="0.25">
      <c r="B22" s="19" t="s">
        <v>95</v>
      </c>
      <c r="C22" s="101">
        <v>0.46986468792246849</v>
      </c>
      <c r="D22" s="101">
        <v>0.46986468792246849</v>
      </c>
      <c r="E22" s="101">
        <v>0.46986468792246849</v>
      </c>
      <c r="F22" s="101">
        <v>0.46986468792246849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4.767842600000001E-2</v>
      </c>
    </row>
    <row r="27" spans="1:8" ht="15.75" customHeight="1" x14ac:dyDescent="0.25">
      <c r="B27" s="19" t="s">
        <v>102</v>
      </c>
      <c r="C27" s="101">
        <v>1.8794775E-2</v>
      </c>
    </row>
    <row r="28" spans="1:8" ht="15.75" customHeight="1" x14ac:dyDescent="0.25">
      <c r="B28" s="19" t="s">
        <v>103</v>
      </c>
      <c r="C28" s="101">
        <v>0.23166139099999999</v>
      </c>
    </row>
    <row r="29" spans="1:8" ht="15.75" customHeight="1" x14ac:dyDescent="0.25">
      <c r="B29" s="19" t="s">
        <v>104</v>
      </c>
      <c r="C29" s="101">
        <v>0.138538992</v>
      </c>
    </row>
    <row r="30" spans="1:8" ht="15.75" customHeight="1" x14ac:dyDescent="0.25">
      <c r="B30" s="19" t="s">
        <v>2</v>
      </c>
      <c r="C30" s="101">
        <v>5.0761070999999998E-2</v>
      </c>
    </row>
    <row r="31" spans="1:8" ht="15.75" customHeight="1" x14ac:dyDescent="0.25">
      <c r="B31" s="19" t="s">
        <v>105</v>
      </c>
      <c r="C31" s="101">
        <v>7.0366394999999998E-2</v>
      </c>
    </row>
    <row r="32" spans="1:8" ht="15.75" customHeight="1" x14ac:dyDescent="0.25">
      <c r="B32" s="19" t="s">
        <v>106</v>
      </c>
      <c r="C32" s="101">
        <v>0.147583886</v>
      </c>
    </row>
    <row r="33" spans="2:3" ht="15.75" customHeight="1" x14ac:dyDescent="0.25">
      <c r="B33" s="19" t="s">
        <v>107</v>
      </c>
      <c r="C33" s="101">
        <v>0.122079576</v>
      </c>
    </row>
    <row r="34" spans="2:3" ht="15.75" customHeight="1" x14ac:dyDescent="0.25">
      <c r="B34" s="19" t="s">
        <v>108</v>
      </c>
      <c r="C34" s="101">
        <v>0.17253548899999999</v>
      </c>
    </row>
    <row r="35" spans="2:3" ht="15.75" customHeight="1" x14ac:dyDescent="0.25">
      <c r="B35" s="27" t="s">
        <v>41</v>
      </c>
      <c r="C35" s="48">
        <f>SUM(C26:C34)</f>
        <v>1.0000000009999999</v>
      </c>
    </row>
  </sheetData>
  <sheetProtection algorithmName="SHA-512" hashValue="vUKGKBJLcyE4xBgwVygH18QN442bUy5PN+pJeL/Ev4IcSddH8nRSpcSo9Fpdh7NkRgHhl2Yey+h8euX0sCnnIw==" saltValue="EbimAhDon4iZtAQESx45Q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0.82677453145578772</v>
      </c>
      <c r="D2" s="52">
        <f>IFERROR(1-_xlfn.NORM.DIST(_xlfn.NORM.INV(SUM(D4:D5), 0, 1) + 1, 0, 1, TRUE), "")</f>
        <v>0.82677453145578772</v>
      </c>
      <c r="E2" s="52">
        <f>IFERROR(1-_xlfn.NORM.DIST(_xlfn.NORM.INV(SUM(E4:E5), 0, 1) + 1, 0, 1, TRUE), "")</f>
        <v>0.73580172304648594</v>
      </c>
      <c r="F2" s="52">
        <f>IFERROR(1-_xlfn.NORM.DIST(_xlfn.NORM.INV(SUM(F4:F5), 0, 1) + 1, 0, 1, TRUE), "")</f>
        <v>0.59718900257291652</v>
      </c>
      <c r="G2" s="52">
        <f>IFERROR(1-_xlfn.NORM.DIST(_xlfn.NORM.INV(SUM(G4:G5), 0, 1) + 1, 0, 1, TRUE), "")</f>
        <v>0.59272423434252342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0.14712637294421232</v>
      </c>
      <c r="D3" s="52">
        <f>IFERROR(_xlfn.NORM.DIST(_xlfn.NORM.INV(SUM(D4:D5), 0, 1) + 1, 0, 1, TRUE) - SUM(D4:D5), "")</f>
        <v>0.14712637294421232</v>
      </c>
      <c r="E3" s="52">
        <f>IFERROR(_xlfn.NORM.DIST(_xlfn.NORM.INV(SUM(E4:E5), 0, 1) + 1, 0, 1, TRUE) - SUM(E4:E5), "")</f>
        <v>0.21269565435351398</v>
      </c>
      <c r="F3" s="52">
        <f>IFERROR(_xlfn.NORM.DIST(_xlfn.NORM.INV(SUM(F4:F5), 0, 1) + 1, 0, 1, TRUE) - SUM(F4:F5), "")</f>
        <v>0.29644308342708353</v>
      </c>
      <c r="G3" s="52">
        <f>IFERROR(_xlfn.NORM.DIST(_xlfn.NORM.INV(SUM(G4:G5), 0, 1) + 1, 0, 1, TRUE) - SUM(G4:G5), "")</f>
        <v>0.29877830865747657</v>
      </c>
    </row>
    <row r="4" spans="1:15" ht="15.75" customHeight="1" x14ac:dyDescent="0.25">
      <c r="B4" s="5" t="s">
        <v>114</v>
      </c>
      <c r="C4" s="45">
        <v>1.7188864000000002E-2</v>
      </c>
      <c r="D4" s="53">
        <v>1.7188864000000002E-2</v>
      </c>
      <c r="E4" s="53">
        <v>4.3822517000000012E-2</v>
      </c>
      <c r="F4" s="53">
        <v>6.8661426999999997E-2</v>
      </c>
      <c r="G4" s="53">
        <v>8.4373778999999996E-2</v>
      </c>
    </row>
    <row r="5" spans="1:15" ht="15.75" customHeight="1" x14ac:dyDescent="0.25">
      <c r="B5" s="5" t="s">
        <v>115</v>
      </c>
      <c r="C5" s="45">
        <v>8.9102316000000004E-3</v>
      </c>
      <c r="D5" s="53">
        <v>8.9102316000000004E-3</v>
      </c>
      <c r="E5" s="53">
        <v>7.6801055999999998E-3</v>
      </c>
      <c r="F5" s="53">
        <v>3.7706486999999997E-2</v>
      </c>
      <c r="G5" s="53">
        <v>2.4123677999999999E-2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0.79442990317533624</v>
      </c>
      <c r="D8" s="52">
        <f>IFERROR(1-_xlfn.NORM.DIST(_xlfn.NORM.INV(SUM(D10:D11), 0, 1) + 1, 0, 1, TRUE), "")</f>
        <v>0.79442990317533624</v>
      </c>
      <c r="E8" s="52">
        <f>IFERROR(1-_xlfn.NORM.DIST(_xlfn.NORM.INV(SUM(E10:E11), 0, 1) + 1, 0, 1, TRUE), "")</f>
        <v>0.90880010060176264</v>
      </c>
      <c r="F8" s="52">
        <f>IFERROR(1-_xlfn.NORM.DIST(_xlfn.NORM.INV(SUM(F10:F11), 0, 1) + 1, 0, 1, TRUE), "")</f>
        <v>0.93089903469927304</v>
      </c>
      <c r="G8" s="52">
        <f>IFERROR(1-_xlfn.NORM.DIST(_xlfn.NORM.INV(SUM(G10:G11), 0, 1) + 1, 0, 1, TRUE), "")</f>
        <v>0.93706482118372392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0.17133416602466375</v>
      </c>
      <c r="D9" s="52">
        <f>IFERROR(_xlfn.NORM.DIST(_xlfn.NORM.INV(SUM(D10:D11), 0, 1) + 1, 0, 1, TRUE) - SUM(D10:D11), "")</f>
        <v>0.17133416602466375</v>
      </c>
      <c r="E9" s="52">
        <f>IFERROR(_xlfn.NORM.DIST(_xlfn.NORM.INV(SUM(E10:E11), 0, 1) + 1, 0, 1, TRUE) - SUM(E10:E11), "")</f>
        <v>8.1386380598237343E-2</v>
      </c>
      <c r="F9" s="52">
        <f>IFERROR(_xlfn.NORM.DIST(_xlfn.NORM.INV(SUM(F10:F11), 0, 1) + 1, 0, 1, TRUE) - SUM(F10:F11), "")</f>
        <v>6.2578131900726988E-2</v>
      </c>
      <c r="G9" s="52">
        <f>IFERROR(_xlfn.NORM.DIST(_xlfn.NORM.INV(SUM(G10:G11), 0, 1) + 1, 0, 1, TRUE) - SUM(G10:G11), "")</f>
        <v>5.7241661516276111E-2</v>
      </c>
    </row>
    <row r="10" spans="1:15" ht="15.75" customHeight="1" x14ac:dyDescent="0.25">
      <c r="B10" s="5" t="s">
        <v>119</v>
      </c>
      <c r="C10" s="45">
        <v>2.6720075999999999E-2</v>
      </c>
      <c r="D10" s="53">
        <v>2.6720075999999999E-2</v>
      </c>
      <c r="E10" s="53">
        <v>2.8764525E-3</v>
      </c>
      <c r="F10" s="53">
        <v>2.5831999999999999E-3</v>
      </c>
      <c r="G10" s="53">
        <v>3.8270104000000002E-3</v>
      </c>
    </row>
    <row r="11" spans="1:15" ht="15.75" customHeight="1" x14ac:dyDescent="0.25">
      <c r="B11" s="5" t="s">
        <v>120</v>
      </c>
      <c r="C11" s="45">
        <v>7.5158548E-3</v>
      </c>
      <c r="D11" s="53">
        <v>7.5158548E-3</v>
      </c>
      <c r="E11" s="53">
        <v>6.9370663000000001E-3</v>
      </c>
      <c r="F11" s="53">
        <v>3.9396333999999998E-3</v>
      </c>
      <c r="G11" s="53">
        <v>1.8665069000000001E-3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0.36972114524999999</v>
      </c>
      <c r="D14" s="54">
        <v>0.35988932596000001</v>
      </c>
      <c r="E14" s="54">
        <v>0.35988932596000001</v>
      </c>
      <c r="F14" s="54">
        <v>0.26732186760100002</v>
      </c>
      <c r="G14" s="54">
        <v>0.26732186760100002</v>
      </c>
      <c r="H14" s="45">
        <v>0.30299999999999999</v>
      </c>
      <c r="I14" s="55">
        <v>0.30299999999999999</v>
      </c>
      <c r="J14" s="55">
        <v>0.30299999999999999</v>
      </c>
      <c r="K14" s="55">
        <v>0.30299999999999999</v>
      </c>
      <c r="L14" s="45">
        <v>0.189</v>
      </c>
      <c r="M14" s="55">
        <v>0.189</v>
      </c>
      <c r="N14" s="55">
        <v>0.189</v>
      </c>
      <c r="O14" s="55">
        <v>0.189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0.21779939917646776</v>
      </c>
      <c r="D15" s="52">
        <f t="shared" si="0"/>
        <v>0.21200756291910239</v>
      </c>
      <c r="E15" s="52">
        <f t="shared" si="0"/>
        <v>0.21200756291910239</v>
      </c>
      <c r="F15" s="52">
        <f t="shared" si="0"/>
        <v>0.15747690630694072</v>
      </c>
      <c r="G15" s="52">
        <f t="shared" si="0"/>
        <v>0.15747690630694072</v>
      </c>
      <c r="H15" s="52">
        <f t="shared" si="0"/>
        <v>0.17849457300000002</v>
      </c>
      <c r="I15" s="52">
        <f t="shared" si="0"/>
        <v>0.17849457300000002</v>
      </c>
      <c r="J15" s="52">
        <f t="shared" si="0"/>
        <v>0.17849457300000002</v>
      </c>
      <c r="K15" s="52">
        <f t="shared" si="0"/>
        <v>0.17849457300000002</v>
      </c>
      <c r="L15" s="52">
        <f t="shared" si="0"/>
        <v>0.11133819900000001</v>
      </c>
      <c r="M15" s="52">
        <f t="shared" si="0"/>
        <v>0.11133819900000001</v>
      </c>
      <c r="N15" s="52">
        <f t="shared" si="0"/>
        <v>0.11133819900000001</v>
      </c>
      <c r="O15" s="52">
        <f t="shared" si="0"/>
        <v>0.11133819900000001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Ny8KFaDqcFOvUSAk06x75qPF4BHBUFU4tWJO4NL/rpG7oBfexJ4eJ6sQ/K8msM4vw3H0R75jgkJCTGDpIvxT/w==" saltValue="9MRxA5cbM9CtrwvifOBJa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0.69710499999999997</v>
      </c>
      <c r="D2" s="53">
        <v>0.47777259999999999</v>
      </c>
      <c r="E2" s="53"/>
      <c r="F2" s="53"/>
      <c r="G2" s="53"/>
    </row>
    <row r="3" spans="1:7" x14ac:dyDescent="0.25">
      <c r="B3" s="3" t="s">
        <v>130</v>
      </c>
      <c r="C3" s="53">
        <v>3.7555470000000001E-2</v>
      </c>
      <c r="D3" s="53">
        <v>0.12155680000000001</v>
      </c>
      <c r="E3" s="53"/>
      <c r="F3" s="53"/>
      <c r="G3" s="53"/>
    </row>
    <row r="4" spans="1:7" x14ac:dyDescent="0.25">
      <c r="B4" s="3" t="s">
        <v>131</v>
      </c>
      <c r="C4" s="53">
        <v>0.22008630000000001</v>
      </c>
      <c r="D4" s="53">
        <v>0.36383629999999989</v>
      </c>
      <c r="E4" s="53">
        <v>0.90213686227798506</v>
      </c>
      <c r="F4" s="53">
        <v>0.66075050830841109</v>
      </c>
      <c r="G4" s="53"/>
    </row>
    <row r="5" spans="1:7" x14ac:dyDescent="0.25">
      <c r="B5" s="3" t="s">
        <v>132</v>
      </c>
      <c r="C5" s="52">
        <v>4.5253249999999988E-2</v>
      </c>
      <c r="D5" s="52">
        <v>3.6834279999999997E-2</v>
      </c>
      <c r="E5" s="52">
        <f>1-SUM(E2:E4)</f>
        <v>9.7863137722014937E-2</v>
      </c>
      <c r="F5" s="52">
        <f>1-SUM(F2:F4)</f>
        <v>0.33924949169158891</v>
      </c>
      <c r="G5" s="52">
        <f>1-SUM(G2:G4)</f>
        <v>1</v>
      </c>
    </row>
  </sheetData>
  <sheetProtection algorithmName="SHA-512" hashValue="Bw3XvkcTgVPcXbHClcCAL/jx0IXErRrzsK4Yt7Bi49hPFVGgvJKcKNpCjVjqRmI4MeEqrRET1zaHlbBWGbgn3g==" saltValue="7rYqA3pQ41vKxZjAZOxN/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sKrOu3/CYACHQjSUQ2bGa/QU3gSFk7eykArLPd3FE4z7C6j3kbODAaf1/dMGbwy1Gz+2WKfnfRU7+SJ5IqRoxw==" saltValue="bCM6CPDA++4aWmnLi/UKo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c3QSIkwnMWRIMGxZ/NVjsNGM9JkQvcbRuB48sjykLuwNVdTc5eMCu3GzU1fytHFYPISyErntW0y8lnvGlLgLkQ==" saltValue="iSFVZRbnmzGLl/vOz9Y0o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u13o+OYcG3SwGjTRaaQiF8eC9nheVl7kGRFsDf/tomOcyNccz93kdIvKTPN5z6X+JYNYuQJJ8s02AQsQU5bhJQ==" saltValue="RWmX90NsP7cjfoI46dJHP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d2qWOrj3MwS6hSIou21sS+HUyPZQn4cWBxJ3CzNocSn0TqeL784Ut2M4kMfIB+a82ZNG13puX8LF9iYQzcF66Q==" saltValue="xY2PtMthWGyiej8W57cu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2024-03-18T01:47:01Z</dcterms:modified>
</cp:coreProperties>
</file>