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FBB3413B-679B-4241-AB75-57B44FBEAAB7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A40" i="2"/>
  <c r="H39" i="2"/>
  <c r="G39" i="2"/>
  <c r="I39" i="2" s="1"/>
  <c r="A39" i="2"/>
  <c r="H38" i="2"/>
  <c r="I38" i="2" s="1"/>
  <c r="G38" i="2"/>
  <c r="A38" i="2"/>
  <c r="A35" i="2"/>
  <c r="A34" i="2"/>
  <c r="A33" i="2"/>
  <c r="A32" i="2"/>
  <c r="A29" i="2"/>
  <c r="A27" i="2"/>
  <c r="A25" i="2"/>
  <c r="A24" i="2"/>
  <c r="A22" i="2"/>
  <c r="A21" i="2"/>
  <c r="A18" i="2"/>
  <c r="A17" i="2"/>
  <c r="A14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16" i="2" l="1"/>
  <c r="A26" i="2"/>
  <c r="A37" i="2"/>
  <c r="A19" i="2"/>
  <c r="A30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<sst xmlns="http://schemas.openxmlformats.org/spreadsheetml/2006/main" count="2092" uniqueCount="337">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</sst>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698245.4609375</v>
      </c>
    </row>
    <row r="8" spans="1:3" ht="15" customHeight="1" x14ac:dyDescent="0.25">
      <c r="B8" s="5" t="s">
        <v>19</v>
      </c>
      <c r="C8" s="44">
        <v>0.06</v>
      </c>
    </row>
    <row r="9" spans="1:3" ht="15" customHeight="1" x14ac:dyDescent="0.25">
      <c r="B9" s="5" t="s">
        <v>20</v>
      </c>
      <c r="C9" s="45">
        <v>0.41</v>
      </c>
    </row>
    <row r="10" spans="1:3" ht="15" customHeight="1" x14ac:dyDescent="0.25">
      <c r="B10" s="5" t="s">
        <v>21</v>
      </c>
      <c r="C10" s="45">
        <v>0.248721008300781</v>
      </c>
    </row>
    <row r="11" spans="1:3" ht="15" customHeight="1" x14ac:dyDescent="0.25">
      <c r="B11" s="5" t="s">
        <v>22</v>
      </c>
      <c r="C11" s="45">
        <v>0.63</v>
      </c>
    </row>
    <row r="12" spans="1:3" ht="15" customHeight="1" x14ac:dyDescent="0.25">
      <c r="B12" s="5" t="s">
        <v>23</v>
      </c>
      <c r="C12" s="45">
        <v>0.33700000000000002</v>
      </c>
    </row>
    <row r="13" spans="1:3" ht="15" customHeight="1" x14ac:dyDescent="0.25">
      <c r="B13" s="5" t="s">
        <v>24</v>
      </c>
      <c r="C13" s="45">
        <v>0.69599999999999995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8.6800000000000002E-2</v>
      </c>
    </row>
    <row r="24" spans="1:3" ht="15" customHeight="1" x14ac:dyDescent="0.25">
      <c r="B24" s="15" t="s">
        <v>33</v>
      </c>
      <c r="C24" s="45">
        <v>0.40960000000000002</v>
      </c>
    </row>
    <row r="25" spans="1:3" ht="15" customHeight="1" x14ac:dyDescent="0.25">
      <c r="B25" s="15" t="s">
        <v>34</v>
      </c>
      <c r="C25" s="45">
        <v>0.3861</v>
      </c>
    </row>
    <row r="26" spans="1:3" ht="15" customHeight="1" x14ac:dyDescent="0.25">
      <c r="B26" s="15" t="s">
        <v>35</v>
      </c>
      <c r="C26" s="45">
        <v>0.11749999999999999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0.218296980023063</v>
      </c>
    </row>
    <row r="30" spans="1:3" ht="14.25" customHeight="1" x14ac:dyDescent="0.25">
      <c r="B30" s="25" t="s">
        <v>38</v>
      </c>
      <c r="C30" s="99">
        <v>7.5314268126941905E-2</v>
      </c>
    </row>
    <row r="31" spans="1:3" ht="14.25" customHeight="1" x14ac:dyDescent="0.25">
      <c r="B31" s="25" t="s">
        <v>39</v>
      </c>
      <c r="C31" s="99">
        <v>0.11900000583134</v>
      </c>
    </row>
    <row r="32" spans="1:3" ht="14.25" customHeight="1" x14ac:dyDescent="0.25">
      <c r="B32" s="25" t="s">
        <v>40</v>
      </c>
      <c r="C32" s="99">
        <v>0.58738874601865598</v>
      </c>
    </row>
    <row r="33" spans="1:5" ht="13" customHeight="1" x14ac:dyDescent="0.25">
      <c r="B33" s="27" t="s">
        <v>41</v>
      </c>
      <c r="C33" s="48">
        <f>SUM(C29:C32)</f>
        <v>1.0000000000000009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32.0155464710502</v>
      </c>
    </row>
    <row r="38" spans="1:5" ht="15" customHeight="1" x14ac:dyDescent="0.25">
      <c r="B38" s="11" t="s">
        <v>45</v>
      </c>
      <c r="C38" s="43">
        <v>50.139646693294203</v>
      </c>
      <c r="D38" s="12"/>
      <c r="E38" s="13"/>
    </row>
    <row r="39" spans="1:5" ht="15" customHeight="1" x14ac:dyDescent="0.25">
      <c r="B39" s="11" t="s">
        <v>46</v>
      </c>
      <c r="C39" s="43">
        <v>72.891799487629001</v>
      </c>
      <c r="D39" s="12"/>
      <c r="E39" s="12"/>
    </row>
    <row r="40" spans="1:5" ht="15" customHeight="1" x14ac:dyDescent="0.25">
      <c r="B40" s="11" t="s">
        <v>47</v>
      </c>
      <c r="C40" s="100">
        <v>7.66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21.972940340000001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2.8633999999999999E-3</v>
      </c>
      <c r="D45" s="12"/>
    </row>
    <row r="46" spans="1:5" ht="15.75" customHeight="1" x14ac:dyDescent="0.25">
      <c r="B46" s="11" t="s">
        <v>52</v>
      </c>
      <c r="C46" s="45">
        <v>8.5627899999999993E-2</v>
      </c>
      <c r="D46" s="12"/>
    </row>
    <row r="47" spans="1:5" ht="15.75" customHeight="1" x14ac:dyDescent="0.25">
      <c r="B47" s="11" t="s">
        <v>53</v>
      </c>
      <c r="C47" s="45">
        <v>0.14244280000000001</v>
      </c>
      <c r="D47" s="12"/>
      <c r="E47" s="13"/>
    </row>
    <row r="48" spans="1:5" ht="15" customHeight="1" x14ac:dyDescent="0.25">
      <c r="B48" s="11" t="s">
        <v>54</v>
      </c>
      <c r="C48" s="46">
        <v>0.76906589999999997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0.46489900000000001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8m+68rBnH/WjsGhuqezLPycXo6mw7dJWiwmMs2O+09O6QMTbbaRsE36m+AN/F4+DCg15eGyKop0t1MM4MHJpZQ==" saltValue="6w0VvtWLUZIDZ9A5HMJfk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0.236987511480549</v>
      </c>
      <c r="C2" s="98">
        <v>0.95</v>
      </c>
      <c r="D2" s="56">
        <v>38.62528988805559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42.537295647752792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110.19016266168551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0.32331103772677311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13.555007547773389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13.555007547773389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13.555007547773389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13.555007547773389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13.555007547773389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13.555007547773389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0.367012770373914</v>
      </c>
      <c r="C16" s="98">
        <v>0.95</v>
      </c>
      <c r="D16" s="56">
        <v>0.29420413411251728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0.8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2.6318398731448558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2.6318398731448558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0.20152539014816301</v>
      </c>
      <c r="C21" s="98">
        <v>0.95</v>
      </c>
      <c r="D21" s="56">
        <v>2.6406398741845729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23.139270869051948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3.2070103300000001E-3</v>
      </c>
      <c r="C23" s="98">
        <v>0.95</v>
      </c>
      <c r="D23" s="56">
        <v>4.4706017011529111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0.46010461344347903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0.26254115307060899</v>
      </c>
      <c r="C27" s="98">
        <v>0.95</v>
      </c>
      <c r="D27" s="56">
        <v>19.566466311857429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0.2537508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69.361036760483032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0.22370000000000001</v>
      </c>
      <c r="C31" s="98">
        <v>0.95</v>
      </c>
      <c r="D31" s="56">
        <v>2.3542264782021709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0.39387450000000002</v>
      </c>
      <c r="C32" s="98">
        <v>0.95</v>
      </c>
      <c r="D32" s="56">
        <v>0.5823003013277992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0.48435489770669699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0.85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0.231534689664841</v>
      </c>
      <c r="C38" s="98">
        <v>0.95</v>
      </c>
      <c r="D38" s="56">
        <v>4.013212652439103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0.28286289999999997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U5FXAD2KwgPVvvdmpn/fRvTJV/rnpwtxvYZCQHkQ80CxvSbXWMphfb/VFdlbJECRet5T7DNIh1joRBodiJkT1A==" saltValue="vof6aT3D72R186LMCX/F8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1ZCHCyJ7RGhO4aIXn3PgmY2Rxe0z3I20L6pZFPgBWUXqLAkjaBS59I4I91vcKfRKBD7hW0Zrw82hPUejAWhAYA==" saltValue="JwECBJOgxeVs7pikubaQo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Gs8GmbDAfl/6L8+XFajDpl3ik8iB0O4K8hBx0Df7oq9Kok7YM75Y5W3aG4sldCOVzxUOFtW0qfd+R3kABjIPwA==" saltValue="LIP3ONZGh9bCF+VVxOAJs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0.28894760608673181</v>
      </c>
      <c r="C3" s="21">
        <f>frac_mam_1_5months * 2.6</f>
        <v>0.28894760608673181</v>
      </c>
      <c r="D3" s="21">
        <f>frac_mam_6_11months * 2.6</f>
        <v>0.36325698792934463</v>
      </c>
      <c r="E3" s="21">
        <f>frac_mam_12_23months * 2.6</f>
        <v>0.33430142402648944</v>
      </c>
      <c r="F3" s="21">
        <f>frac_mam_24_59months * 2.6</f>
        <v>0.27161837667226862</v>
      </c>
    </row>
    <row r="4" spans="1:6" ht="15.75" customHeight="1" x14ac:dyDescent="0.25">
      <c r="A4" s="3" t="s">
        <v>208</v>
      </c>
      <c r="B4" s="21">
        <f>frac_sam_1month * 2.6</f>
        <v>0.18084483891725553</v>
      </c>
      <c r="C4" s="21">
        <f>frac_sam_1_5months * 2.6</f>
        <v>0.18084483891725553</v>
      </c>
      <c r="D4" s="21">
        <f>frac_sam_6_11months * 2.6</f>
        <v>0.14923163950443269</v>
      </c>
      <c r="E4" s="21">
        <f>frac_sam_12_23months * 2.6</f>
        <v>0.11104912534356108</v>
      </c>
      <c r="F4" s="21">
        <f>frac_sam_24_59months * 2.6</f>
        <v>6.3516569510102289E-2</v>
      </c>
    </row>
  </sheetData>
  <sheetProtection algorithmName="SHA-512" hashValue="cGLSK0c/YAci+oKYm6/3IO7xgEIlSHBGGi7tNShhOX/nuxbumhXBH7/A82jBQn68yhVKr5ycUD5UczpPjkKAFw==" saltValue="1cP5bSjVTEuvR2xWQLLF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0.06</v>
      </c>
      <c r="E2" s="60">
        <f>food_insecure</f>
        <v>0.06</v>
      </c>
      <c r="F2" s="60">
        <f>food_insecure</f>
        <v>0.06</v>
      </c>
      <c r="G2" s="60">
        <f>food_insecure</f>
        <v>0.06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0.06</v>
      </c>
      <c r="F5" s="60">
        <f>food_insecure</f>
        <v>0.06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0.06</v>
      </c>
      <c r="F8" s="60">
        <f>food_insecure</f>
        <v>0.06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0.06</v>
      </c>
      <c r="F9" s="60">
        <f>food_insecure</f>
        <v>0.06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0.33700000000000002</v>
      </c>
      <c r="E10" s="60">
        <f>IF(ISBLANK(comm_deliv), frac_children_health_facility,1)</f>
        <v>0.33700000000000002</v>
      </c>
      <c r="F10" s="60">
        <f>IF(ISBLANK(comm_deliv), frac_children_health_facility,1)</f>
        <v>0.33700000000000002</v>
      </c>
      <c r="G10" s="60">
        <f>IF(ISBLANK(comm_deliv), frac_children_health_facility,1)</f>
        <v>0.33700000000000002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0.06</v>
      </c>
      <c r="I15" s="60">
        <f>food_insecure</f>
        <v>0.06</v>
      </c>
      <c r="J15" s="60">
        <f>food_insecure</f>
        <v>0.06</v>
      </c>
      <c r="K15" s="60">
        <f>food_insecure</f>
        <v>0.06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0.63</v>
      </c>
      <c r="I18" s="60">
        <f>frac_PW_health_facility</f>
        <v>0.63</v>
      </c>
      <c r="J18" s="60">
        <f>frac_PW_health_facility</f>
        <v>0.63</v>
      </c>
      <c r="K18" s="60">
        <f>frac_PW_health_facility</f>
        <v>0.63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0.41</v>
      </c>
      <c r="I19" s="60">
        <f>frac_malaria_risk</f>
        <v>0.41</v>
      </c>
      <c r="J19" s="60">
        <f>frac_malaria_risk</f>
        <v>0.41</v>
      </c>
      <c r="K19" s="60">
        <f>frac_malaria_risk</f>
        <v>0.41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0.69599999999999995</v>
      </c>
      <c r="M24" s="60">
        <f>famplan_unmet_need</f>
        <v>0.69599999999999995</v>
      </c>
      <c r="N24" s="60">
        <f>famplan_unmet_need</f>
        <v>0.69599999999999995</v>
      </c>
      <c r="O24" s="60">
        <f>famplan_unmet_need</f>
        <v>0.69599999999999995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0.3775928212280274</v>
      </c>
      <c r="M25" s="60">
        <f>(1-food_insecure)*(0.49)+food_insecure*(0.7)</f>
        <v>0.50259999999999994</v>
      </c>
      <c r="N25" s="60">
        <f>(1-food_insecure)*(0.49)+food_insecure*(0.7)</f>
        <v>0.50259999999999994</v>
      </c>
      <c r="O25" s="60">
        <f>(1-food_insecure)*(0.49)+food_insecure*(0.7)</f>
        <v>0.50259999999999994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0.16182549481201175</v>
      </c>
      <c r="M26" s="60">
        <f>(1-food_insecure)*(0.21)+food_insecure*(0.3)</f>
        <v>0.21539999999999998</v>
      </c>
      <c r="N26" s="60">
        <f>(1-food_insecure)*(0.21)+food_insecure*(0.3)</f>
        <v>0.21539999999999998</v>
      </c>
      <c r="O26" s="60">
        <f>(1-food_insecure)*(0.21)+food_insecure*(0.3)</f>
        <v>0.21539999999999998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0.21186067565917974</v>
      </c>
      <c r="M27" s="60">
        <f>(1-food_insecure)*(0.3)</f>
        <v>0.28199999999999997</v>
      </c>
      <c r="N27" s="60">
        <f>(1-food_insecure)*(0.3)</f>
        <v>0.28199999999999997</v>
      </c>
      <c r="O27" s="60">
        <f>(1-food_insecure)*(0.3)</f>
        <v>0.28199999999999997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0.24872100830078098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0.41</v>
      </c>
      <c r="D34" s="60">
        <f t="shared" si="3"/>
        <v>0.41</v>
      </c>
      <c r="E34" s="60">
        <f t="shared" si="3"/>
        <v>0.41</v>
      </c>
      <c r="F34" s="60">
        <f t="shared" si="3"/>
        <v>0.41</v>
      </c>
      <c r="G34" s="60">
        <f t="shared" si="3"/>
        <v>0.41</v>
      </c>
      <c r="H34" s="60">
        <f t="shared" si="3"/>
        <v>0.41</v>
      </c>
      <c r="I34" s="60">
        <f t="shared" si="3"/>
        <v>0.41</v>
      </c>
      <c r="J34" s="60">
        <f t="shared" si="3"/>
        <v>0.41</v>
      </c>
      <c r="K34" s="60">
        <f t="shared" si="3"/>
        <v>0.41</v>
      </c>
      <c r="L34" s="60">
        <f t="shared" si="3"/>
        <v>0.41</v>
      </c>
      <c r="M34" s="60">
        <f t="shared" si="3"/>
        <v>0.41</v>
      </c>
      <c r="N34" s="60">
        <f t="shared" si="3"/>
        <v>0.41</v>
      </c>
      <c r="O34" s="60">
        <f t="shared" si="3"/>
        <v>0.41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lOH7DJwcqi1w73Zms63ARVYntHU2ddWK5V4GRVPKqudUGQZhzcFSiA33lEK7mk6BSzdL0mXSd+L4Tq9DOUpi8g==" saltValue="O7mO2FQQMNVF+F0RRNNp0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mQ51MHNMOFXgGH5twmHNPnRMxiS8/KOIyqZGINaZQpQvThdfHty75yclcPSKcUNSLkWUJCXhpskUoYIJxPOIaw==" saltValue="5t9ib/SoSaUImRFb/4cit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CMMLm4K3iqZ2ManeSiYUR/V1yTfXVhjXWS1XCZqzTk1x3QA3vV1RbQnjhaOnHwV3omHkMLgcyh2EMmlbRQypvg==" saltValue="s7Z9ZzpNz6BeJAWTB/AOP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XnkOnCqe6K24V/JDJ+1QA2oD2Ghp6awgh2xTKnj2euQvQf/JpmVX8uurNS2YJeJF8iFcgnW44BCYUrLfN+IoWg==" saltValue="VTjP6+S85oIX4h1321L4H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HRjm6t/hXpwUSPlrwsZsD5JWspTy4tk8trisHg2qtyA0nUp/UgfOxIo/shyiLfh5OjHuzqgwfVZNvb5yG6w8Ig==" saltValue="Ghj8x/CGBFJtAlogOfLoC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thP3zcIASVvwGJ3YVbsd0I1U1hE5rJ7R5eXuNJNX4DqtCv1nSYsiFCFqrreWeUHDmvhjSGOQ4lxHlwNqYkVPsw==" saltValue="8KM1B/ZJWQ2j2r65zQtIy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157522.26</v>
      </c>
      <c r="C2" s="49">
        <v>245000</v>
      </c>
      <c r="D2" s="49">
        <v>409000</v>
      </c>
      <c r="E2" s="49">
        <v>315000</v>
      </c>
      <c r="F2" s="49">
        <v>228000</v>
      </c>
      <c r="G2" s="17">
        <f t="shared" ref="G2:G11" si="0">C2+D2+E2+F2</f>
        <v>1197000</v>
      </c>
      <c r="H2" s="17">
        <f t="shared" ref="H2:H11" si="1">(B2 + stillbirth*B2/(1000-stillbirth))/(1-abortion)</f>
        <v>183024.1468411379</v>
      </c>
      <c r="I2" s="17">
        <f t="shared" ref="I2:I11" si="2">G2-H2</f>
        <v>1013975.8531588621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159651.79300000001</v>
      </c>
      <c r="C3" s="50">
        <v>251000</v>
      </c>
      <c r="D3" s="50">
        <v>419000</v>
      </c>
      <c r="E3" s="50">
        <v>323000</v>
      </c>
      <c r="F3" s="50">
        <v>235000</v>
      </c>
      <c r="G3" s="17">
        <f t="shared" si="0"/>
        <v>1228000</v>
      </c>
      <c r="H3" s="17">
        <f t="shared" si="1"/>
        <v>185498.43816031431</v>
      </c>
      <c r="I3" s="17">
        <f t="shared" si="2"/>
        <v>1042501.5618396857</v>
      </c>
    </row>
    <row r="4" spans="1:9" ht="15.75" customHeight="1" x14ac:dyDescent="0.25">
      <c r="A4" s="5">
        <f t="shared" si="3"/>
        <v>2023</v>
      </c>
      <c r="B4" s="49">
        <v>161750.51999999999</v>
      </c>
      <c r="C4" s="50">
        <v>258000</v>
      </c>
      <c r="D4" s="50">
        <v>428000</v>
      </c>
      <c r="E4" s="50">
        <v>331000</v>
      </c>
      <c r="F4" s="50">
        <v>243000</v>
      </c>
      <c r="G4" s="17">
        <f t="shared" si="0"/>
        <v>1260000</v>
      </c>
      <c r="H4" s="17">
        <f t="shared" si="1"/>
        <v>187936.93617721339</v>
      </c>
      <c r="I4" s="17">
        <f t="shared" si="2"/>
        <v>1072063.0638227866</v>
      </c>
    </row>
    <row r="5" spans="1:9" ht="15.75" customHeight="1" x14ac:dyDescent="0.25">
      <c r="A5" s="5">
        <f t="shared" si="3"/>
        <v>2024</v>
      </c>
      <c r="B5" s="49">
        <v>163785.22399999999</v>
      </c>
      <c r="C5" s="50">
        <v>264000</v>
      </c>
      <c r="D5" s="50">
        <v>439000</v>
      </c>
      <c r="E5" s="50">
        <v>341000</v>
      </c>
      <c r="F5" s="50">
        <v>250000</v>
      </c>
      <c r="G5" s="17">
        <f t="shared" si="0"/>
        <v>1294000</v>
      </c>
      <c r="H5" s="17">
        <f t="shared" si="1"/>
        <v>190301.04626345928</v>
      </c>
      <c r="I5" s="17">
        <f t="shared" si="2"/>
        <v>1103698.9537365406</v>
      </c>
    </row>
    <row r="6" spans="1:9" ht="15.75" customHeight="1" x14ac:dyDescent="0.25">
      <c r="A6" s="5">
        <f t="shared" si="3"/>
        <v>2025</v>
      </c>
      <c r="B6" s="49">
        <v>165754.783</v>
      </c>
      <c r="C6" s="50">
        <v>271000</v>
      </c>
      <c r="D6" s="50">
        <v>449000</v>
      </c>
      <c r="E6" s="50">
        <v>349000</v>
      </c>
      <c r="F6" s="50">
        <v>258000</v>
      </c>
      <c r="G6" s="17">
        <f t="shared" si="0"/>
        <v>1327000</v>
      </c>
      <c r="H6" s="17">
        <f t="shared" si="1"/>
        <v>192589.46477414016</v>
      </c>
      <c r="I6" s="17">
        <f t="shared" si="2"/>
        <v>1134410.5352258598</v>
      </c>
    </row>
    <row r="7" spans="1:9" ht="15.75" customHeight="1" x14ac:dyDescent="0.25">
      <c r="A7" s="5">
        <f t="shared" si="3"/>
        <v>2026</v>
      </c>
      <c r="B7" s="49">
        <v>167946.519</v>
      </c>
      <c r="C7" s="50">
        <v>278000</v>
      </c>
      <c r="D7" s="50">
        <v>460000</v>
      </c>
      <c r="E7" s="50">
        <v>358000</v>
      </c>
      <c r="F7" s="50">
        <v>266000</v>
      </c>
      <c r="G7" s="17">
        <f t="shared" si="0"/>
        <v>1362000</v>
      </c>
      <c r="H7" s="17">
        <f t="shared" si="1"/>
        <v>195136.02937714299</v>
      </c>
      <c r="I7" s="17">
        <f t="shared" si="2"/>
        <v>1166863.9706228571</v>
      </c>
    </row>
    <row r="8" spans="1:9" ht="15.75" customHeight="1" x14ac:dyDescent="0.25">
      <c r="A8" s="5">
        <f t="shared" si="3"/>
        <v>2027</v>
      </c>
      <c r="B8" s="49">
        <v>170054.535</v>
      </c>
      <c r="C8" s="50">
        <v>285000</v>
      </c>
      <c r="D8" s="50">
        <v>471000</v>
      </c>
      <c r="E8" s="50">
        <v>366000</v>
      </c>
      <c r="F8" s="50">
        <v>274000</v>
      </c>
      <c r="G8" s="17">
        <f t="shared" si="0"/>
        <v>1396000</v>
      </c>
      <c r="H8" s="17">
        <f t="shared" si="1"/>
        <v>197585.32022611549</v>
      </c>
      <c r="I8" s="17">
        <f t="shared" si="2"/>
        <v>1198414.6797738846</v>
      </c>
    </row>
    <row r="9" spans="1:9" ht="15.75" customHeight="1" x14ac:dyDescent="0.25">
      <c r="A9" s="5">
        <f t="shared" si="3"/>
        <v>2028</v>
      </c>
      <c r="B9" s="49">
        <v>172138.09700000001</v>
      </c>
      <c r="C9" s="50">
        <v>293000</v>
      </c>
      <c r="D9" s="50">
        <v>482000</v>
      </c>
      <c r="E9" s="50">
        <v>376000</v>
      </c>
      <c r="F9" s="50">
        <v>281000</v>
      </c>
      <c r="G9" s="17">
        <f t="shared" si="0"/>
        <v>1432000</v>
      </c>
      <c r="H9" s="17">
        <f t="shared" si="1"/>
        <v>200006.19812261482</v>
      </c>
      <c r="I9" s="17">
        <f t="shared" si="2"/>
        <v>1231993.8018773852</v>
      </c>
    </row>
    <row r="10" spans="1:9" ht="15.75" customHeight="1" x14ac:dyDescent="0.25">
      <c r="A10" s="5">
        <f t="shared" si="3"/>
        <v>2029</v>
      </c>
      <c r="B10" s="49">
        <v>174165.962</v>
      </c>
      <c r="C10" s="50">
        <v>300000</v>
      </c>
      <c r="D10" s="50">
        <v>495000</v>
      </c>
      <c r="E10" s="50">
        <v>385000</v>
      </c>
      <c r="F10" s="50">
        <v>290000</v>
      </c>
      <c r="G10" s="17">
        <f t="shared" si="0"/>
        <v>1470000</v>
      </c>
      <c r="H10" s="17">
        <f t="shared" si="1"/>
        <v>202362.36201674637</v>
      </c>
      <c r="I10" s="17">
        <f t="shared" si="2"/>
        <v>1267637.6379832537</v>
      </c>
    </row>
    <row r="11" spans="1:9" ht="15.75" customHeight="1" x14ac:dyDescent="0.25">
      <c r="A11" s="5">
        <f t="shared" si="3"/>
        <v>2030</v>
      </c>
      <c r="B11" s="49">
        <v>176166.15299999999</v>
      </c>
      <c r="C11" s="50">
        <v>306000</v>
      </c>
      <c r="D11" s="50">
        <v>507000</v>
      </c>
      <c r="E11" s="50">
        <v>395000</v>
      </c>
      <c r="F11" s="50">
        <v>298000</v>
      </c>
      <c r="G11" s="17">
        <f t="shared" si="0"/>
        <v>1506000</v>
      </c>
      <c r="H11" s="17">
        <f t="shared" si="1"/>
        <v>204686.37166017274</v>
      </c>
      <c r="I11" s="17">
        <f t="shared" si="2"/>
        <v>1301313.6283398273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CpZGTbzztG4vpqWiL/uM79UeyNh7a8umJf1m0Yi3jTgaz5hIWen8iw3ANis3RluxdtaNUAeOQChxRljzXGr7LQ==" saltValue="19/7elnwKRqlEJYESQKuS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10.978351896804794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10.978351896804794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2.4524487222056437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2.4524487222056437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3.162717559271039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3.162717559271039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1.8036630789372972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1.8036630789372972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3.5425788257634623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3.5425788257634623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G+NFsyWSxKQ+q8eEQTxXlK/hxYflfTesVCDKn1ynDN/fUnSa6RSM1zzQqRnyFVP3v4gj6O61mKXYUAWzlv7uZw==" saltValue="Au4NqqT1T+DJ69e3iFylq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JQvTNTJUZP8Hhkk/obDMBLdlrducAsKPlTY95yKC/MbtTlKu3OCzZ1IVhdM7j91nmhkxvQJPEQW+X1TyfI28BA==" saltValue="LrKFXAkE00ZrmvcWf4oAh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tW2pluc4ukqIoy4jAKE8UFjK296QOsMc1fx9DpKwqQ0hdAStaTDW0JJ0JuZXkbCTMF63kux6oMVU+rNXYAI6vg==" saltValue="oLbd45KuouJ83R1hY7spJ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0.60857575569099809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0.55765481706304953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0.86510981208455984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0.83871739117948063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0.86510981208455984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0.83871739117948063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0.40728589161928508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0.35781126804664254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0.83209752063671893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0.80073373647666912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0.83209752063671893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0.80073373647666912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0.90956312393550753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0.89077019590988338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0.89840258502914738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0.87760256456423291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0.89840258502914738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0.87760256456423291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0mccxA7XFR3X4xhGXicbeW2JvTy1TF1bxb38JmXEzG/HOL46w02d1kWbsaH5qRS6mVlHl4YX3bJMc24okEa3rA==" saltValue="GIkK+zvt+iKCMCIfNbFYE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3uUxgl8UY2iNnGnkn9ajG8D6qEBddSau+/OAshx40TdoR5NAOw7L/ZtIz9i7W9bxXwCG99t++tX0tpZSSR6zFQ==" saltValue="Jamh7k1JWbcH//A08B9UA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0.44971486179018061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0.42991447187977039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0.42991447187977039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0.5875559745463117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0.5875559745463117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0.5875559745463117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0.5875559745463117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0.62018448182311436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0.62018448182311436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0.62018448182311436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0.62018448182311436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0.55971609309213199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0.53982362841414855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0.53982362841414855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0.68905472636815923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0.68905472636815923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0.68905472636815923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0.68905472636815923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0.71751412429378525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0.71751412429378525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0.71751412429378525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0.71751412429378525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0.27171439406319892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0.25610372504171669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0.25610372504171669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0.39406712682438494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0.39406712682438494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0.39406712682438494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0.39406712682438494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0.42707684643168514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0.42707684643168514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0.42707684643168514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0.42707684643168514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0.42580523982608248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0.40628033520042367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0.40628033520042367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0.5638266938063391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0.5638266938063391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0.5638266938063391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0.5638266938063391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0.59704499664204169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0.59704499664204169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0.59704499664204169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0.59704499664204169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0.91131632541845886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0.90460195808523136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0.90460195808523136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0.94712538334097096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0.94712538334097096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0.94712538334097096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0.94712538334097096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0.95355677684031259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0.95355677684031259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0.95355677684031259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0.95355677684031259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0.78517157778298474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0.77130335363106861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0.77130335363106861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0.86433319766653127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0.86433319766653127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0.86433319766653127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0.86433319766653127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0.87955435109906654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0.87955435109906654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0.87955435109906654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0.87955435109906654</v>
      </c>
    </row>
  </sheetData>
  <sheetProtection algorithmName="SHA-512" hashValue="l0Xj5qQCp00/kk3eAY/6SRgNfXGwaYsBmny/5JPmGe8D6dyZ8pH3i2hhPm7wZd0ALpryvlPVVoR9iy8oOY4dOg==" saltValue="IikUu6cqAIHjEOYFKDOnF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0.73818755663783575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0.74068900977054375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0.74364726817567262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0.74723694560024068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0.72925660628144162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0.72275565478184156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0.72532561028792553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0.73072905212655015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0.63276405459767504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0.63577577983972489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0.63934813327848472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0.643698539845034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0.62207800829395843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0.61436443183571976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0.61740726903502097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0.62383267798103237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0.85327081716362585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0.85488886868833458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0.85679620139903412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0.85910166482086769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0.84745434267104514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0.84318119090047772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0.84487443751989044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0.84841758286678282</v>
      </c>
    </row>
  </sheetData>
  <sheetProtection algorithmName="SHA-512" hashValue="LNtx6FCprijFqr4+50wUj+RMNAMez0ckQMA9t8NTVPyDUf2elA9ZIG2f7SR2E6Q7Z90n0JVhYHvZ5pudmWrOZw==" saltValue="6nUTLzSWANZ39RtA1h9IM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sSQkSKgsbfayRnk1yVenUnibY56LgntyV80znI+EQ58tdQNKda+iJQkf7oDYoCNIzH6BcB4kfzgJMT/5snrekA==" saltValue="HS/wDao/3AYabi6F7UZEi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O4pDxKKKkmDRSozAwxXwWJjjdkiKYfUWQO1jMsTblXBj8YQxg9BftCgIADZFbrtHpuDnLMwQahnErjdEe5vv0w==" saltValue="y//0dkCB1upA2Lwsed6p1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6.8467064895010908E-3</v>
      </c>
    </row>
    <row r="4" spans="1:8" ht="15.75" customHeight="1" x14ac:dyDescent="0.25">
      <c r="B4" s="19" t="s">
        <v>79</v>
      </c>
      <c r="C4" s="101">
        <v>0.1895353147750557</v>
      </c>
    </row>
    <row r="5" spans="1:8" ht="15.75" customHeight="1" x14ac:dyDescent="0.25">
      <c r="B5" s="19" t="s">
        <v>80</v>
      </c>
      <c r="C5" s="101">
        <v>6.4452775507581245E-2</v>
      </c>
    </row>
    <row r="6" spans="1:8" ht="15.75" customHeight="1" x14ac:dyDescent="0.25">
      <c r="B6" s="19" t="s">
        <v>81</v>
      </c>
      <c r="C6" s="101">
        <v>0.2192177453658273</v>
      </c>
    </row>
    <row r="7" spans="1:8" ht="15.75" customHeight="1" x14ac:dyDescent="0.25">
      <c r="B7" s="19" t="s">
        <v>82</v>
      </c>
      <c r="C7" s="101">
        <v>0.38587272561120428</v>
      </c>
    </row>
    <row r="8" spans="1:8" ht="15.75" customHeight="1" x14ac:dyDescent="0.25">
      <c r="B8" s="19" t="s">
        <v>83</v>
      </c>
      <c r="C8" s="101">
        <v>1.1037351323594621E-2</v>
      </c>
    </row>
    <row r="9" spans="1:8" ht="15.75" customHeight="1" x14ac:dyDescent="0.25">
      <c r="B9" s="19" t="s">
        <v>84</v>
      </c>
      <c r="C9" s="101">
        <v>5.9415258833576103E-2</v>
      </c>
    </row>
    <row r="10" spans="1:8" ht="15.75" customHeight="1" x14ac:dyDescent="0.25">
      <c r="B10" s="19" t="s">
        <v>85</v>
      </c>
      <c r="C10" s="101">
        <v>6.3622122093659805E-2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0.15629857501745381</v>
      </c>
      <c r="D14" s="55">
        <v>0.15629857501745381</v>
      </c>
      <c r="E14" s="55">
        <v>0.15629857501745381</v>
      </c>
      <c r="F14" s="55">
        <v>0.15629857501745381</v>
      </c>
    </row>
    <row r="15" spans="1:8" ht="15.75" customHeight="1" x14ac:dyDescent="0.25">
      <c r="B15" s="19" t="s">
        <v>88</v>
      </c>
      <c r="C15" s="101">
        <v>0.2239457973942216</v>
      </c>
      <c r="D15" s="101">
        <v>0.2239457973942216</v>
      </c>
      <c r="E15" s="101">
        <v>0.2239457973942216</v>
      </c>
      <c r="F15" s="101">
        <v>0.2239457973942216</v>
      </c>
    </row>
    <row r="16" spans="1:8" ht="15.75" customHeight="1" x14ac:dyDescent="0.25">
      <c r="B16" s="19" t="s">
        <v>89</v>
      </c>
      <c r="C16" s="101">
        <v>2.7096049556824001E-2</v>
      </c>
      <c r="D16" s="101">
        <v>2.7096049556824001E-2</v>
      </c>
      <c r="E16" s="101">
        <v>2.7096049556824001E-2</v>
      </c>
      <c r="F16" s="101">
        <v>2.7096049556824001E-2</v>
      </c>
    </row>
    <row r="17" spans="1:8" ht="15.75" customHeight="1" x14ac:dyDescent="0.25">
      <c r="B17" s="19" t="s">
        <v>90</v>
      </c>
      <c r="C17" s="101">
        <v>2.477255048783188E-2</v>
      </c>
      <c r="D17" s="101">
        <v>2.477255048783188E-2</v>
      </c>
      <c r="E17" s="101">
        <v>2.477255048783188E-2</v>
      </c>
      <c r="F17" s="101">
        <v>2.477255048783188E-2</v>
      </c>
    </row>
    <row r="18" spans="1:8" ht="15.75" customHeight="1" x14ac:dyDescent="0.25">
      <c r="B18" s="19" t="s">
        <v>91</v>
      </c>
      <c r="C18" s="101">
        <v>7.6407948265194855E-2</v>
      </c>
      <c r="D18" s="101">
        <v>7.6407948265194855E-2</v>
      </c>
      <c r="E18" s="101">
        <v>7.6407948265194855E-2</v>
      </c>
      <c r="F18" s="101">
        <v>7.6407948265194855E-2</v>
      </c>
    </row>
    <row r="19" spans="1:8" ht="15.75" customHeight="1" x14ac:dyDescent="0.25">
      <c r="B19" s="19" t="s">
        <v>92</v>
      </c>
      <c r="C19" s="101">
        <v>1.9496667123207891E-2</v>
      </c>
      <c r="D19" s="101">
        <v>1.9496667123207891E-2</v>
      </c>
      <c r="E19" s="101">
        <v>1.9496667123207891E-2</v>
      </c>
      <c r="F19" s="101">
        <v>1.9496667123207891E-2</v>
      </c>
    </row>
    <row r="20" spans="1:8" ht="15.75" customHeight="1" x14ac:dyDescent="0.25">
      <c r="B20" s="19" t="s">
        <v>93</v>
      </c>
      <c r="C20" s="101">
        <v>8.9730091871322703E-3</v>
      </c>
      <c r="D20" s="101">
        <v>8.9730091871322703E-3</v>
      </c>
      <c r="E20" s="101">
        <v>8.9730091871322703E-3</v>
      </c>
      <c r="F20" s="101">
        <v>8.9730091871322703E-3</v>
      </c>
    </row>
    <row r="21" spans="1:8" ht="15.75" customHeight="1" x14ac:dyDescent="0.25">
      <c r="B21" s="19" t="s">
        <v>94</v>
      </c>
      <c r="C21" s="101">
        <v>0.10687064750134891</v>
      </c>
      <c r="D21" s="101">
        <v>0.10687064750134891</v>
      </c>
      <c r="E21" s="101">
        <v>0.10687064750134891</v>
      </c>
      <c r="F21" s="101">
        <v>0.10687064750134891</v>
      </c>
    </row>
    <row r="22" spans="1:8" ht="15.75" customHeight="1" x14ac:dyDescent="0.25">
      <c r="B22" s="19" t="s">
        <v>95</v>
      </c>
      <c r="C22" s="101">
        <v>0.35613875546678481</v>
      </c>
      <c r="D22" s="101">
        <v>0.35613875546678481</v>
      </c>
      <c r="E22" s="101">
        <v>0.35613875546678481</v>
      </c>
      <c r="F22" s="101">
        <v>0.35613875546678481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8.8735101999999996E-2</v>
      </c>
    </row>
    <row r="27" spans="1:8" ht="15.75" customHeight="1" x14ac:dyDescent="0.25">
      <c r="B27" s="19" t="s">
        <v>102</v>
      </c>
      <c r="C27" s="101">
        <v>8.4480660000000006E-3</v>
      </c>
    </row>
    <row r="28" spans="1:8" ht="15.75" customHeight="1" x14ac:dyDescent="0.25">
      <c r="B28" s="19" t="s">
        <v>103</v>
      </c>
      <c r="C28" s="101">
        <v>0.157003631</v>
      </c>
    </row>
    <row r="29" spans="1:8" ht="15.75" customHeight="1" x14ac:dyDescent="0.25">
      <c r="B29" s="19" t="s">
        <v>104</v>
      </c>
      <c r="C29" s="101">
        <v>0.16959068199999999</v>
      </c>
    </row>
    <row r="30" spans="1:8" ht="15.75" customHeight="1" x14ac:dyDescent="0.25">
      <c r="B30" s="19" t="s">
        <v>2</v>
      </c>
      <c r="C30" s="101">
        <v>0.105430197</v>
      </c>
    </row>
    <row r="31" spans="1:8" ht="15.75" customHeight="1" x14ac:dyDescent="0.25">
      <c r="B31" s="19" t="s">
        <v>105</v>
      </c>
      <c r="C31" s="101">
        <v>0.109065357</v>
      </c>
    </row>
    <row r="32" spans="1:8" ht="15.75" customHeight="1" x14ac:dyDescent="0.25">
      <c r="B32" s="19" t="s">
        <v>106</v>
      </c>
      <c r="C32" s="101">
        <v>1.8742332E-2</v>
      </c>
    </row>
    <row r="33" spans="2:3" ht="15.75" customHeight="1" x14ac:dyDescent="0.25">
      <c r="B33" s="19" t="s">
        <v>107</v>
      </c>
      <c r="C33" s="101">
        <v>8.4799848999999997E-2</v>
      </c>
    </row>
    <row r="34" spans="2:3" ht="15.75" customHeight="1" x14ac:dyDescent="0.25">
      <c r="B34" s="19" t="s">
        <v>108</v>
      </c>
      <c r="C34" s="101">
        <v>0.25818478299999997</v>
      </c>
    </row>
    <row r="35" spans="2:3" ht="15.75" customHeight="1" x14ac:dyDescent="0.25">
      <c r="B35" s="27" t="s">
        <v>41</v>
      </c>
      <c r="C35" s="48">
        <f>SUM(C26:C34)</f>
        <v>0.99999999899999992</v>
      </c>
    </row>
  </sheetData>
  <sheetProtection algorithmName="SHA-512" hashValue="5B7vVnIWTIlkJFfqDeuKGeOTTyPwALT+P2CV+Z7LsvNAUDrqD1b1twvWbTOkjIZreCQkNqmwS33e3Xo3wRTA5A==" saltValue="+1uIIy+8iZy5Dn7f+6JtZ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0.56097827862410699</v>
      </c>
      <c r="D2" s="52">
        <f>IFERROR(1-_xlfn.NORM.DIST(_xlfn.NORM.INV(SUM(D4:D5), 0, 1) + 1, 0, 1, TRUE), "")</f>
        <v>0.56097827862410699</v>
      </c>
      <c r="E2" s="52">
        <f>IFERROR(1-_xlfn.NORM.DIST(_xlfn.NORM.INV(SUM(E4:E5), 0, 1) + 1, 0, 1, TRUE), "")</f>
        <v>0.55891267098379371</v>
      </c>
      <c r="F2" s="52">
        <f>IFERROR(1-_xlfn.NORM.DIST(_xlfn.NORM.INV(SUM(F4:F5), 0, 1) + 1, 0, 1, TRUE), "")</f>
        <v>0.32666130363320289</v>
      </c>
      <c r="G2" s="52">
        <f>IFERROR(1-_xlfn.NORM.DIST(_xlfn.NORM.INV(SUM(G4:G5), 0, 1) + 1, 0, 1, TRUE), "")</f>
        <v>0.29224119822421102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0.31465885032505841</v>
      </c>
      <c r="D3" s="52">
        <f>IFERROR(_xlfn.NORM.DIST(_xlfn.NORM.INV(SUM(D4:D5), 0, 1) + 1, 0, 1, TRUE) - SUM(D4:D5), "")</f>
        <v>0.31465885032505841</v>
      </c>
      <c r="E3" s="52">
        <f>IFERROR(_xlfn.NORM.DIST(_xlfn.NORM.INV(SUM(E4:E5), 0, 1) + 1, 0, 1, TRUE) - SUM(E4:E5), "")</f>
        <v>0.31564701087879904</v>
      </c>
      <c r="F3" s="52">
        <f>IFERROR(_xlfn.NORM.DIST(_xlfn.NORM.INV(SUM(F4:F5), 0, 1) + 1, 0, 1, TRUE) - SUM(F4:F5), "")</f>
        <v>0.38247004151965214</v>
      </c>
      <c r="G3" s="52">
        <f>IFERROR(_xlfn.NORM.DIST(_xlfn.NORM.INV(SUM(G4:G5), 0, 1) + 1, 0, 1, TRUE) - SUM(G4:G5), "")</f>
        <v>0.38253875334820697</v>
      </c>
    </row>
    <row r="4" spans="1:15" ht="15.75" customHeight="1" x14ac:dyDescent="0.25">
      <c r="B4" s="5" t="s">
        <v>114</v>
      </c>
      <c r="C4" s="45">
        <v>7.9503074288368197E-2</v>
      </c>
      <c r="D4" s="53">
        <v>7.9503074288368197E-2</v>
      </c>
      <c r="E4" s="53">
        <v>8.4543883800506592E-2</v>
      </c>
      <c r="F4" s="53">
        <v>0.178987741470337</v>
      </c>
      <c r="G4" s="53">
        <v>0.18635369837284099</v>
      </c>
    </row>
    <row r="5" spans="1:15" ht="15.75" customHeight="1" x14ac:dyDescent="0.25">
      <c r="B5" s="5" t="s">
        <v>115</v>
      </c>
      <c r="C5" s="45">
        <v>4.4859796762466403E-2</v>
      </c>
      <c r="D5" s="53">
        <v>4.4859796762466403E-2</v>
      </c>
      <c r="E5" s="53">
        <v>4.0896434336900697E-2</v>
      </c>
      <c r="F5" s="53">
        <v>0.111880913376808</v>
      </c>
      <c r="G5" s="53">
        <v>0.13886635005474099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0.4652327997097303</v>
      </c>
      <c r="D8" s="52">
        <f>IFERROR(1-_xlfn.NORM.DIST(_xlfn.NORM.INV(SUM(D10:D11), 0, 1) + 1, 0, 1, TRUE), "")</f>
        <v>0.4652327997097303</v>
      </c>
      <c r="E8" s="52">
        <f>IFERROR(1-_xlfn.NORM.DIST(_xlfn.NORM.INV(SUM(E10:E11), 0, 1) + 1, 0, 1, TRUE), "")</f>
        <v>0.44116574697060162</v>
      </c>
      <c r="F8" s="52">
        <f>IFERROR(1-_xlfn.NORM.DIST(_xlfn.NORM.INV(SUM(F10:F11), 0, 1) + 1, 0, 1, TRUE), "")</f>
        <v>0.47969665542373618</v>
      </c>
      <c r="G8" s="52">
        <f>IFERROR(1-_xlfn.NORM.DIST(_xlfn.NORM.INV(SUM(G10:G11), 0, 1) + 1, 0, 1, TRUE), "")</f>
        <v>0.5523557952973015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0.35407779836565922</v>
      </c>
      <c r="D9" s="52">
        <f>IFERROR(_xlfn.NORM.DIST(_xlfn.NORM.INV(SUM(D10:D11), 0, 1) + 1, 0, 1, TRUE) - SUM(D10:D11), "")</f>
        <v>0.35407779836565922</v>
      </c>
      <c r="E9" s="52">
        <f>IFERROR(_xlfn.NORM.DIST(_xlfn.NORM.INV(SUM(E10:E11), 0, 1) + 1, 0, 1, TRUE) - SUM(E10:E11), "")</f>
        <v>0.36172324247794557</v>
      </c>
      <c r="F9" s="52">
        <f>IFERROR(_xlfn.NORM.DIST(_xlfn.NORM.INV(SUM(F10:F11), 0, 1) + 1, 0, 1, TRUE) - SUM(F10:F11), "")</f>
        <v>0.34901467174162903</v>
      </c>
      <c r="G9" s="52">
        <f>IFERROR(_xlfn.NORM.DIST(_xlfn.NORM.INV(SUM(G10:G11), 0, 1) + 1, 0, 1, TRUE) - SUM(G10:G11), "")</f>
        <v>0.31874614847870975</v>
      </c>
    </row>
    <row r="10" spans="1:15" ht="15.75" customHeight="1" x14ac:dyDescent="0.25">
      <c r="B10" s="5" t="s">
        <v>119</v>
      </c>
      <c r="C10" s="45">
        <v>0.11113369464874299</v>
      </c>
      <c r="D10" s="53">
        <v>0.11113369464874299</v>
      </c>
      <c r="E10" s="53">
        <v>0.139714226126671</v>
      </c>
      <c r="F10" s="53">
        <v>0.128577470779419</v>
      </c>
      <c r="G10" s="53">
        <v>0.104468606412411</v>
      </c>
    </row>
    <row r="11" spans="1:15" ht="15.75" customHeight="1" x14ac:dyDescent="0.25">
      <c r="B11" s="5" t="s">
        <v>120</v>
      </c>
      <c r="C11" s="45">
        <v>6.9555707275867504E-2</v>
      </c>
      <c r="D11" s="53">
        <v>6.9555707275867504E-2</v>
      </c>
      <c r="E11" s="53">
        <v>5.7396784424781799E-2</v>
      </c>
      <c r="F11" s="53">
        <v>4.2711202055215801E-2</v>
      </c>
      <c r="G11" s="53">
        <v>2.44294498115778E-2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0.70639477425000008</v>
      </c>
      <c r="D14" s="54">
        <v>0.68218456074</v>
      </c>
      <c r="E14" s="54">
        <v>0.68218456074</v>
      </c>
      <c r="F14" s="54">
        <v>0.70673003779300003</v>
      </c>
      <c r="G14" s="54">
        <v>0.70673003779300003</v>
      </c>
      <c r="H14" s="45">
        <v>0.44600000000000001</v>
      </c>
      <c r="I14" s="55">
        <v>0.44600000000000001</v>
      </c>
      <c r="J14" s="55">
        <v>0.44600000000000001</v>
      </c>
      <c r="K14" s="55">
        <v>0.44600000000000001</v>
      </c>
      <c r="L14" s="45">
        <v>0.36499999999999999</v>
      </c>
      <c r="M14" s="55">
        <v>0.36499999999999999</v>
      </c>
      <c r="N14" s="55">
        <v>0.36499999999999999</v>
      </c>
      <c r="O14" s="55">
        <v>0.36499999999999999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0.32840222415405079</v>
      </c>
      <c r="D15" s="52">
        <f t="shared" si="0"/>
        <v>0.31714692010346529</v>
      </c>
      <c r="E15" s="52">
        <f t="shared" si="0"/>
        <v>0.31714692010346529</v>
      </c>
      <c r="F15" s="52">
        <f t="shared" si="0"/>
        <v>0.3285580878399279</v>
      </c>
      <c r="G15" s="52">
        <f t="shared" si="0"/>
        <v>0.3285580878399279</v>
      </c>
      <c r="H15" s="52">
        <f t="shared" si="0"/>
        <v>0.207344954</v>
      </c>
      <c r="I15" s="52">
        <f t="shared" si="0"/>
        <v>0.207344954</v>
      </c>
      <c r="J15" s="52">
        <f t="shared" si="0"/>
        <v>0.207344954</v>
      </c>
      <c r="K15" s="52">
        <f t="shared" si="0"/>
        <v>0.207344954</v>
      </c>
      <c r="L15" s="52">
        <f t="shared" si="0"/>
        <v>0.16968813499999999</v>
      </c>
      <c r="M15" s="52">
        <f t="shared" si="0"/>
        <v>0.16968813499999999</v>
      </c>
      <c r="N15" s="52">
        <f t="shared" si="0"/>
        <v>0.16968813499999999</v>
      </c>
      <c r="O15" s="52">
        <f t="shared" si="0"/>
        <v>0.16968813499999999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s+uMi9KCcFP5i73tfZEIYgCViR9E04aFOG7feyeybpWKLV9FfCLsCbsvEKULdx1bklaOS9T/yFHWhvNHN1nUzA==" saltValue="Jgo2uAgFjxJd16/t4dZ03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0.60505032539367698</v>
      </c>
      <c r="D2" s="53">
        <v>0.39387450000000002</v>
      </c>
      <c r="E2" s="53"/>
      <c r="F2" s="53"/>
      <c r="G2" s="53"/>
    </row>
    <row r="3" spans="1:7" x14ac:dyDescent="0.25">
      <c r="B3" s="3" t="s">
        <v>130</v>
      </c>
      <c r="C3" s="53">
        <v>0.175480350852013</v>
      </c>
      <c r="D3" s="53">
        <v>0.2000537</v>
      </c>
      <c r="E3" s="53"/>
      <c r="F3" s="53"/>
      <c r="G3" s="53"/>
    </row>
    <row r="4" spans="1:7" x14ac:dyDescent="0.25">
      <c r="B4" s="3" t="s">
        <v>131</v>
      </c>
      <c r="C4" s="53">
        <v>0.16912613809108701</v>
      </c>
      <c r="D4" s="53">
        <v>0.36006589999999999</v>
      </c>
      <c r="E4" s="53">
        <v>0.93118119239807096</v>
      </c>
      <c r="F4" s="53">
        <v>0.69521141052246094</v>
      </c>
      <c r="G4" s="53"/>
    </row>
    <row r="5" spans="1:7" x14ac:dyDescent="0.25">
      <c r="B5" s="3" t="s">
        <v>132</v>
      </c>
      <c r="C5" s="52">
        <v>5.0343181937933003E-2</v>
      </c>
      <c r="D5" s="52">
        <v>4.6005815267562901E-2</v>
      </c>
      <c r="E5" s="52">
        <f>1-SUM(E2:E4)</f>
        <v>6.8818807601929044E-2</v>
      </c>
      <c r="F5" s="52">
        <f>1-SUM(F2:F4)</f>
        <v>0.30478858947753906</v>
      </c>
      <c r="G5" s="52">
        <f>1-SUM(G2:G4)</f>
        <v>1</v>
      </c>
    </row>
  </sheetData>
  <sheetProtection algorithmName="SHA-512" hashValue="AUfM1Wamh7xbfHGGHuD7NU1O5+SBxooz+uciTv+NtRFU9Y8dzBQtywLw2nCWHE/mlWDxVfBkK0+6ZMZCUSaTuA==" saltValue="xRJj497ISZtthtzI1WM7E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Y+hsrlhC6x/t0n2n6w6XZYfydy2oygbCzgaLJ4FHLd6ZFp7V68OcT/FXZZRjrHx1V1CPE30dbFCTA0WwwJxNlQ==" saltValue="kvU+vfYUEH2O82NXr45nc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YMZ6CS3gNg2p3/xmfHkFJgbaxxs1dJwfoUb4jPKaKPh8ptHVYPJkbfHT87KwSnyMiI7mFoXR088ZWYik+gkSbQ==" saltValue="KC6RIzZp3R6o74hE8pTFI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7KNWs8kQ4r8Iab7hczJQlTkcu7/21mUva7wAjmOleklxbitlCEKIx8uLbLyRAm0EXWSOIb8Je0zXhUCAtiUgbQ==" saltValue="vbgXpMq4tkNLI7cc8D2+O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MDbCLmDigv777qgNu2s/dU8BGRNBpmw9P6KoY2eear0BZurCR3NUd+WdI2gevqpnCqFqDvpfE8q80xFTRvEJLg==" saltValue="k0fyAKKYCwTNkHL316xgh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2024-03-18T01:47:24Z</dcterms:modified>
</cp:coreProperties>
</file>