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54AD547F-1197-4E82-B248-D8B92A3D9F9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H136" i="27"/>
  <c r="G136" i="27"/>
  <c r="F136" i="27"/>
  <c r="E136" i="27"/>
  <c r="H135" i="27"/>
  <c r="G135" i="27"/>
  <c r="F135" i="27"/>
  <c r="E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D152" i="27" s="1"/>
  <c r="H81" i="27"/>
  <c r="G81" i="27"/>
  <c r="F81" i="27"/>
  <c r="E81" i="27"/>
  <c r="H80" i="27"/>
  <c r="G80" i="27"/>
  <c r="F80" i="27"/>
  <c r="E80" i="27"/>
  <c r="D80" i="27"/>
  <c r="D135" i="27" s="1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G39" i="2"/>
  <c r="I39" i="2" s="1"/>
  <c r="A39" i="2"/>
  <c r="H38" i="2"/>
  <c r="I38" i="2" s="1"/>
  <c r="G38" i="2"/>
  <c r="A34" i="2"/>
  <c r="A33" i="2"/>
  <c r="A24" i="2"/>
  <c r="A22" i="2"/>
  <c r="I11" i="2"/>
  <c r="H11" i="2"/>
  <c r="G11" i="2"/>
  <c r="H10" i="2"/>
  <c r="G10" i="2"/>
  <c r="H9" i="2"/>
  <c r="I9" i="2" s="1"/>
  <c r="G9" i="2"/>
  <c r="H8" i="2"/>
  <c r="G8" i="2"/>
  <c r="I7" i="2"/>
  <c r="H7" i="2"/>
  <c r="G7" i="2"/>
  <c r="H6" i="2"/>
  <c r="G6" i="2"/>
  <c r="I6" i="2" s="1"/>
  <c r="H5" i="2"/>
  <c r="I5" i="2" s="1"/>
  <c r="G5" i="2"/>
  <c r="H4" i="2"/>
  <c r="G4" i="2"/>
  <c r="H3" i="2"/>
  <c r="I3" i="2" s="1"/>
  <c r="G3" i="2"/>
  <c r="A3" i="2"/>
  <c r="H2" i="2"/>
  <c r="G2" i="2"/>
  <c r="A2" i="2"/>
  <c r="A31" i="2" s="1"/>
  <c r="C33" i="1"/>
  <c r="C20" i="1"/>
  <c r="A19" i="2" l="1"/>
  <c r="A30" i="2"/>
  <c r="I2" i="2"/>
  <c r="I8" i="2"/>
  <c r="A21" i="2"/>
  <c r="A32" i="2"/>
  <c r="A13" i="2"/>
  <c r="A25" i="2"/>
  <c r="A16" i="2"/>
  <c r="A26" i="2"/>
  <c r="A37" i="2"/>
  <c r="A40" i="2"/>
  <c r="I10" i="2"/>
  <c r="A17" i="2"/>
  <c r="A27" i="2"/>
  <c r="A38" i="2"/>
  <c r="A14" i="2"/>
  <c r="A35" i="2"/>
  <c r="I4" i="2"/>
  <c r="A18" i="2"/>
  <c r="A2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<sst xmlns="http://schemas.openxmlformats.org/spreadsheetml/2006/main" count="2092" uniqueCount="337">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</sst>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695093.640625</v>
      </c>
    </row>
    <row r="8" spans="1:3" ht="15" customHeight="1" x14ac:dyDescent="0.25">
      <c r="B8" s="5" t="s">
        <v>19</v>
      </c>
      <c r="C8" s="44">
        <v>3.2000000000000001E-2</v>
      </c>
    </row>
    <row r="9" spans="1:3" ht="15" customHeight="1" x14ac:dyDescent="0.25">
      <c r="B9" s="5" t="s">
        <v>20</v>
      </c>
      <c r="C9" s="45">
        <v>0.01</v>
      </c>
    </row>
    <row r="10" spans="1:3" ht="15" customHeight="1" x14ac:dyDescent="0.25">
      <c r="B10" s="5" t="s">
        <v>21</v>
      </c>
      <c r="C10" s="45">
        <v>0.78792312620000005</v>
      </c>
    </row>
    <row r="11" spans="1:3" ht="15" customHeight="1" x14ac:dyDescent="0.25">
      <c r="B11" s="5" t="s">
        <v>22</v>
      </c>
      <c r="C11" s="45">
        <v>0.878</v>
      </c>
    </row>
    <row r="12" spans="1:3" ht="15" customHeight="1" x14ac:dyDescent="0.25">
      <c r="B12" s="5" t="s">
        <v>23</v>
      </c>
      <c r="C12" s="45">
        <v>0.6409999999999999</v>
      </c>
    </row>
    <row r="13" spans="1:3" ht="15" customHeight="1" x14ac:dyDescent="0.25">
      <c r="B13" s="5" t="s">
        <v>24</v>
      </c>
      <c r="C13" s="45">
        <v>0.10199999999999999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0.19850000000000001</v>
      </c>
    </row>
    <row r="24" spans="1:3" ht="15" customHeight="1" x14ac:dyDescent="0.25">
      <c r="B24" s="15" t="s">
        <v>33</v>
      </c>
      <c r="C24" s="45">
        <v>0.49969999999999998</v>
      </c>
    </row>
    <row r="25" spans="1:3" ht="15" customHeight="1" x14ac:dyDescent="0.25">
      <c r="B25" s="15" t="s">
        <v>34</v>
      </c>
      <c r="C25" s="45">
        <v>0.25750000000000001</v>
      </c>
    </row>
    <row r="26" spans="1:3" ht="15" customHeight="1" x14ac:dyDescent="0.25">
      <c r="B26" s="15" t="s">
        <v>35</v>
      </c>
      <c r="C26" s="45">
        <v>4.4299999999999999E-2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0.31194267228440298</v>
      </c>
    </row>
    <row r="30" spans="1:3" ht="14.25" customHeight="1" x14ac:dyDescent="0.25">
      <c r="B30" s="25" t="s">
        <v>38</v>
      </c>
      <c r="C30" s="99">
        <v>7.9911271046004401E-2</v>
      </c>
    </row>
    <row r="31" spans="1:3" ht="14.25" customHeight="1" x14ac:dyDescent="0.25">
      <c r="B31" s="25" t="s">
        <v>39</v>
      </c>
      <c r="C31" s="99">
        <v>0.101230174494938</v>
      </c>
    </row>
    <row r="32" spans="1:3" ht="14.25" customHeight="1" x14ac:dyDescent="0.25">
      <c r="B32" s="25" t="s">
        <v>40</v>
      </c>
      <c r="C32" s="99">
        <v>0.506915882174654</v>
      </c>
    </row>
    <row r="33" spans="1:5" ht="13" customHeight="1" x14ac:dyDescent="0.25">
      <c r="B33" s="27" t="s">
        <v>41</v>
      </c>
      <c r="C33" s="48">
        <f>SUM(C29:C32)</f>
        <v>0.99999999999999933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10.2195253635438</v>
      </c>
    </row>
    <row r="38" spans="1:5" ht="15" customHeight="1" x14ac:dyDescent="0.25">
      <c r="B38" s="11" t="s">
        <v>45</v>
      </c>
      <c r="C38" s="43">
        <v>14.3141394477629</v>
      </c>
      <c r="D38" s="12"/>
      <c r="E38" s="13"/>
    </row>
    <row r="39" spans="1:5" ht="15" customHeight="1" x14ac:dyDescent="0.25">
      <c r="B39" s="11" t="s">
        <v>46</v>
      </c>
      <c r="C39" s="43">
        <v>16.649940516532499</v>
      </c>
      <c r="D39" s="12"/>
      <c r="E39" s="12"/>
    </row>
    <row r="40" spans="1:5" ht="15" customHeight="1" x14ac:dyDescent="0.25">
      <c r="B40" s="11" t="s">
        <v>47</v>
      </c>
      <c r="C40" s="100">
        <v>0.98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10.82984911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5.2553000000000009E-3</v>
      </c>
      <c r="D45" s="12"/>
    </row>
    <row r="46" spans="1:5" ht="15.75" customHeight="1" x14ac:dyDescent="0.25">
      <c r="B46" s="11" t="s">
        <v>52</v>
      </c>
      <c r="C46" s="45">
        <v>5.2793E-2</v>
      </c>
      <c r="D46" s="12"/>
    </row>
    <row r="47" spans="1:5" ht="15.75" customHeight="1" x14ac:dyDescent="0.25">
      <c r="B47" s="11" t="s">
        <v>53</v>
      </c>
      <c r="C47" s="45">
        <v>5.9699000000000002E-2</v>
      </c>
      <c r="D47" s="12"/>
      <c r="E47" s="13"/>
    </row>
    <row r="48" spans="1:5" ht="15" customHeight="1" x14ac:dyDescent="0.25">
      <c r="B48" s="11" t="s">
        <v>54</v>
      </c>
      <c r="C48" s="46">
        <v>0.8822527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3.2</v>
      </c>
      <c r="D51" s="12"/>
    </row>
    <row r="52" spans="1:4" ht="15" customHeight="1" x14ac:dyDescent="0.25">
      <c r="B52" s="11" t="s">
        <v>57</v>
      </c>
      <c r="C52" s="100">
        <v>3.2</v>
      </c>
    </row>
    <row r="53" spans="1:4" ht="15.75" customHeight="1" x14ac:dyDescent="0.25">
      <c r="B53" s="11" t="s">
        <v>58</v>
      </c>
      <c r="C53" s="100">
        <v>3.2</v>
      </c>
    </row>
    <row r="54" spans="1:4" ht="15.75" customHeight="1" x14ac:dyDescent="0.25">
      <c r="B54" s="11" t="s">
        <v>59</v>
      </c>
      <c r="C54" s="100">
        <v>3.2</v>
      </c>
    </row>
    <row r="55" spans="1:4" ht="15.75" customHeight="1" x14ac:dyDescent="0.25">
      <c r="B55" s="11" t="s">
        <v>60</v>
      </c>
      <c r="C55" s="100">
        <v>3.2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1.9375E-2</v>
      </c>
    </row>
    <row r="59" spans="1:4" ht="15.75" customHeight="1" x14ac:dyDescent="0.25">
      <c r="B59" s="11" t="s">
        <v>63</v>
      </c>
      <c r="C59" s="45">
        <v>0.50332299999999996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0.10669083</v>
      </c>
    </row>
    <row r="63" spans="1:4" ht="15.75" customHeight="1" x14ac:dyDescent="0.3">
      <c r="A63" s="4"/>
    </row>
  </sheetData>
  <sheetProtection algorithmName="SHA-512" hashValue="9QzHDhCvY32xl/sGhvCYhm8SRrD5N24HjgtsaphrrI8sV0iJRr4xyWVl/vHrU1ZiReItbhpLmgE7gTXJVDxhQw==" saltValue="YDTFT054VzV45pvEgE1k7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0.116774</v>
      </c>
      <c r="C2" s="98">
        <v>0.95</v>
      </c>
      <c r="D2" s="56">
        <v>45.319393542983583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42.687335931091802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215.13820465634649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1.0652303877166689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13.705047831112401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13.705047831112401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13.705047831112401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13.705047831112401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13.705047831112401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13.705047831112401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0.12678320000000001</v>
      </c>
      <c r="C16" s="98">
        <v>0.95</v>
      </c>
      <c r="D16" s="56">
        <v>0.44429056896247249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0.9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5.0196810287000124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5.0196810287000124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0.43180763239999997</v>
      </c>
      <c r="C21" s="98">
        <v>0.95</v>
      </c>
      <c r="D21" s="56">
        <v>11.663682971302389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23.476861506564731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0</v>
      </c>
      <c r="C23" s="98">
        <v>0.95</v>
      </c>
      <c r="D23" s="56">
        <v>4.5643768782397949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0.40358686971600899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0.1298562</v>
      </c>
      <c r="C27" s="98">
        <v>0.95</v>
      </c>
      <c r="D27" s="56">
        <v>19.712589805544962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0.65400000000000003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84.63932308590087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0</v>
      </c>
      <c r="C31" s="98">
        <v>0.95</v>
      </c>
      <c r="D31" s="56">
        <v>0.70370696748114991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0.27199479999999998</v>
      </c>
      <c r="C32" s="98">
        <v>0.95</v>
      </c>
      <c r="D32" s="56">
        <v>0.9198919947883043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0.74434730814947203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0.03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5.3194821474431118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ua8NRw4ofuLOTK5ZHKt7CujLS9U8EBMzk2Ex9IiWJHKWRxNNpZirOvcw+DtKZ2NrQ1ArKb4T/z6hH7fc/FV52A==" saltValue="b/bfWZYO7+8kPqz6iByPl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6zdVKbjkDP46ZwtddMkk3B8x0zAv00YaonZDkakLvChZ4WtPTKD9rYeFJNKD5r3bHBVgXEf1qIr0uV6GoPkIvg==" saltValue="ZS9t+1rs5/r8Ii1IjPEXM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WZow+u/8dEn9VBOg769upRbD2olADx9FIThsf614tIH0efR1Pw7eRzLzoawkFzR7HKefbk2t0sPT04BwSpSVYg==" saltValue="pnv/7xocHTsPjjxcPG3W4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3.2</v>
      </c>
      <c r="C2" s="21">
        <f>'Données pop de l''année de ref'!C52</f>
        <v>3.2</v>
      </c>
      <c r="D2" s="21">
        <f>'Données pop de l''année de ref'!C53</f>
        <v>3.2</v>
      </c>
      <c r="E2" s="21">
        <f>'Données pop de l''année de ref'!C54</f>
        <v>3.2</v>
      </c>
      <c r="F2" s="21">
        <f>'Données pop de l''année de ref'!C55</f>
        <v>3.2</v>
      </c>
    </row>
    <row r="3" spans="1:6" ht="15.75" customHeight="1" x14ac:dyDescent="0.25">
      <c r="A3" s="3" t="s">
        <v>209</v>
      </c>
      <c r="B3" s="21">
        <f>frac_mam_1month * 2.6</f>
        <v>4.4562859833240584E-2</v>
      </c>
      <c r="C3" s="21">
        <f>frac_mam_1_5months * 2.6</f>
        <v>4.4562859833240584E-2</v>
      </c>
      <c r="D3" s="21">
        <f>frac_mam_6_11months * 2.6</f>
        <v>1.7830703314393761E-2</v>
      </c>
      <c r="E3" s="21">
        <f>frac_mam_12_23months * 2.6</f>
        <v>2.7676446177065401E-2</v>
      </c>
      <c r="F3" s="21">
        <f>frac_mam_24_59months * 2.6</f>
        <v>1.6864129155874263E-2</v>
      </c>
    </row>
    <row r="4" spans="1:6" ht="15.75" customHeight="1" x14ac:dyDescent="0.25">
      <c r="A4" s="3" t="s">
        <v>208</v>
      </c>
      <c r="B4" s="21">
        <f>frac_sam_1month * 2.6</f>
        <v>6.2890390306711244E-2</v>
      </c>
      <c r="C4" s="21">
        <f>frac_sam_1_5months * 2.6</f>
        <v>6.2890390306711244E-2</v>
      </c>
      <c r="D4" s="21">
        <f>frac_sam_6_11months * 2.6</f>
        <v>1.8567852210253477E-2</v>
      </c>
      <c r="E4" s="21">
        <f>frac_sam_12_23months * 2.6</f>
        <v>9.7059937659650947E-3</v>
      </c>
      <c r="F4" s="21">
        <f>frac_sam_24_59months * 2.6</f>
        <v>8.7942966725677186E-3</v>
      </c>
    </row>
  </sheetData>
  <sheetProtection algorithmName="SHA-512" hashValue="yGTGBgHtByRXTGhgwafNuzTbq3n3aLJ7pU2m4tK8HCiNTAX5b4rAmcKmlQKAuUZQDrJcX8YRCTz/JoxPDmzGmg==" saltValue="3gdf24FumfrJlZJcyTYE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3.2000000000000001E-2</v>
      </c>
      <c r="E2" s="60">
        <f>food_insecure</f>
        <v>3.2000000000000001E-2</v>
      </c>
      <c r="F2" s="60">
        <f>food_insecure</f>
        <v>3.2000000000000001E-2</v>
      </c>
      <c r="G2" s="60">
        <f>food_insecure</f>
        <v>3.2000000000000001E-2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3.2000000000000001E-2</v>
      </c>
      <c r="F5" s="60">
        <f>food_insecure</f>
        <v>3.2000000000000001E-2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3.2000000000000001E-2</v>
      </c>
      <c r="F8" s="60">
        <f>food_insecure</f>
        <v>3.2000000000000001E-2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3.2000000000000001E-2</v>
      </c>
      <c r="F9" s="60">
        <f>food_insecure</f>
        <v>3.2000000000000001E-2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0.6409999999999999</v>
      </c>
      <c r="E10" s="60">
        <f>IF(ISBLANK(comm_deliv), frac_children_health_facility,1)</f>
        <v>0.6409999999999999</v>
      </c>
      <c r="F10" s="60">
        <f>IF(ISBLANK(comm_deliv), frac_children_health_facility,1)</f>
        <v>0.6409999999999999</v>
      </c>
      <c r="G10" s="60">
        <f>IF(ISBLANK(comm_deliv), frac_children_health_facility,1)</f>
        <v>0.6409999999999999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3.2000000000000001E-2</v>
      </c>
      <c r="I15" s="60">
        <f>food_insecure</f>
        <v>3.2000000000000001E-2</v>
      </c>
      <c r="J15" s="60">
        <f>food_insecure</f>
        <v>3.2000000000000001E-2</v>
      </c>
      <c r="K15" s="60">
        <f>food_insecure</f>
        <v>3.2000000000000001E-2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0.878</v>
      </c>
      <c r="I18" s="60">
        <f>frac_PW_health_facility</f>
        <v>0.878</v>
      </c>
      <c r="J18" s="60">
        <f>frac_PW_health_facility</f>
        <v>0.878</v>
      </c>
      <c r="K18" s="60">
        <f>frac_PW_health_facility</f>
        <v>0.878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0.10199999999999999</v>
      </c>
      <c r="M24" s="60">
        <f>famplan_unmet_need</f>
        <v>0.10199999999999999</v>
      </c>
      <c r="N24" s="60">
        <f>famplan_unmet_need</f>
        <v>0.10199999999999999</v>
      </c>
      <c r="O24" s="60">
        <f>famplan_unmet_need</f>
        <v>0.10199999999999999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0.10534282475393597</v>
      </c>
      <c r="M25" s="60">
        <f>(1-food_insecure)*(0.49)+food_insecure*(0.7)</f>
        <v>0.49671999999999994</v>
      </c>
      <c r="N25" s="60">
        <f>(1-food_insecure)*(0.49)+food_insecure*(0.7)</f>
        <v>0.49671999999999994</v>
      </c>
      <c r="O25" s="60">
        <f>(1-food_insecure)*(0.49)+food_insecure*(0.7)</f>
        <v>0.49671999999999994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4.5146924894543992E-2</v>
      </c>
      <c r="M26" s="60">
        <f>(1-food_insecure)*(0.21)+food_insecure*(0.3)</f>
        <v>0.21287999999999999</v>
      </c>
      <c r="N26" s="60">
        <f>(1-food_insecure)*(0.21)+food_insecure*(0.3)</f>
        <v>0.21287999999999999</v>
      </c>
      <c r="O26" s="60">
        <f>(1-food_insecure)*(0.21)+food_insecure*(0.3)</f>
        <v>0.21287999999999999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6.1587124151519984E-2</v>
      </c>
      <c r="M27" s="60">
        <f>(1-food_insecure)*(0.3)</f>
        <v>0.29039999999999999</v>
      </c>
      <c r="N27" s="60">
        <f>(1-food_insecure)*(0.3)</f>
        <v>0.29039999999999999</v>
      </c>
      <c r="O27" s="60">
        <f>(1-food_insecure)*(0.3)</f>
        <v>0.29039999999999999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0.78792312620000005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JJ9fpxTG3xrgvMEDD9ogUQfLa9gNbiDxZqjjQMKL8fQM7KTO1q7CjyxUNKJvNTZ2s5zACxWR1N+JY44PbMka8g==" saltValue="KDHpy2v0YI+a8PI7PQ3Sn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y/sbOgYDZbvbaJAuqVyKYW3absKPlW0wuuW0fC2/XbCDN66mnaexUrVJXp+bNl/77apwAqMW5dOF9Q9FycwVZg==" saltValue="psfNkDd/PKUqPg+ilQfya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YOy4ThzGEocUAjF2su3N7Y8eRq6CVsVHwblmsCtNHndH/5bVrX0JEzHlnYWc+tm2yEErDdPefayM32mq6TzF0A==" saltValue="OylTXd0RwqsE92IA8NWR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cLNoGnYPgbm3s/Av0iHDhLZlE3o3DojNIJAc7av5ff0Ho/1BH4FYWmUVJrSVClLPMqlEEjT0GM5TTKOXfatUoA==" saltValue="v+R7r6sQ7lkDdVZ4RzWcwA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B5pbwXZaaky3OajaZecgGf6LAt1yGsggmd6+AjIsRJl6nm1k1GXnBctAFo9WOQn/k5MSAyE2Wz4GsCMzkhxcvA==" saltValue="36PUqY/AHjjuPw3rinx6B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iHO/5WMFv47e4ZiE5sT9atNDvhdS/ICWlZWh0BHubi9xQePIsWeEad6W6R/dyc8oLTbqm9f4eTwSRBaumvsNiA==" saltValue="2PaEX0t8jp/+EjhHmUR7A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113762.2892</v>
      </c>
      <c r="C2" s="49">
        <v>282000</v>
      </c>
      <c r="D2" s="49">
        <v>560000</v>
      </c>
      <c r="E2" s="49">
        <v>536000</v>
      </c>
      <c r="F2" s="49">
        <v>416000</v>
      </c>
      <c r="G2" s="17">
        <f t="shared" ref="G2:G11" si="0">C2+D2+E2+F2</f>
        <v>1794000</v>
      </c>
      <c r="H2" s="17">
        <f t="shared" ref="H2:H11" si="1">(B2 + stillbirth*B2/(1000-stillbirth))/(1-abortion)</f>
        <v>130690.68907917301</v>
      </c>
      <c r="I2" s="17">
        <f t="shared" ref="I2:I11" si="2">G2-H2</f>
        <v>1663309.3109208271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112539.7856</v>
      </c>
      <c r="C3" s="50">
        <v>282000</v>
      </c>
      <c r="D3" s="50">
        <v>557000</v>
      </c>
      <c r="E3" s="50">
        <v>541000</v>
      </c>
      <c r="F3" s="50">
        <v>429000</v>
      </c>
      <c r="G3" s="17">
        <f t="shared" si="0"/>
        <v>1809000</v>
      </c>
      <c r="H3" s="17">
        <f t="shared" si="1"/>
        <v>129286.2708048107</v>
      </c>
      <c r="I3" s="17">
        <f t="shared" si="2"/>
        <v>1679713.7291951892</v>
      </c>
    </row>
    <row r="4" spans="1:9" ht="15.75" customHeight="1" x14ac:dyDescent="0.25">
      <c r="A4" s="5">
        <f t="shared" si="3"/>
        <v>2023</v>
      </c>
      <c r="B4" s="49">
        <v>111272.4512</v>
      </c>
      <c r="C4" s="50">
        <v>283000</v>
      </c>
      <c r="D4" s="50">
        <v>554000</v>
      </c>
      <c r="E4" s="50">
        <v>544000</v>
      </c>
      <c r="F4" s="50">
        <v>443000</v>
      </c>
      <c r="G4" s="17">
        <f t="shared" si="0"/>
        <v>1824000</v>
      </c>
      <c r="H4" s="17">
        <f t="shared" si="1"/>
        <v>127830.3506822949</v>
      </c>
      <c r="I4" s="17">
        <f t="shared" si="2"/>
        <v>1696169.6493177051</v>
      </c>
    </row>
    <row r="5" spans="1:9" ht="15.75" customHeight="1" x14ac:dyDescent="0.25">
      <c r="A5" s="5">
        <f t="shared" si="3"/>
        <v>2024</v>
      </c>
      <c r="B5" s="49">
        <v>109943.8002</v>
      </c>
      <c r="C5" s="50">
        <v>283000</v>
      </c>
      <c r="D5" s="50">
        <v>552000</v>
      </c>
      <c r="E5" s="50">
        <v>546000</v>
      </c>
      <c r="F5" s="50">
        <v>455000</v>
      </c>
      <c r="G5" s="17">
        <f t="shared" si="0"/>
        <v>1836000</v>
      </c>
      <c r="H5" s="17">
        <f t="shared" si="1"/>
        <v>126303.9897418038</v>
      </c>
      <c r="I5" s="17">
        <f t="shared" si="2"/>
        <v>1709696.0102581962</v>
      </c>
    </row>
    <row r="6" spans="1:9" ht="15.75" customHeight="1" x14ac:dyDescent="0.25">
      <c r="A6" s="5">
        <f t="shared" si="3"/>
        <v>2025</v>
      </c>
      <c r="B6" s="49">
        <v>108587.16</v>
      </c>
      <c r="C6" s="50">
        <v>283000</v>
      </c>
      <c r="D6" s="50">
        <v>549000</v>
      </c>
      <c r="E6" s="50">
        <v>547000</v>
      </c>
      <c r="F6" s="50">
        <v>468000</v>
      </c>
      <c r="G6" s="17">
        <f t="shared" si="0"/>
        <v>1847000</v>
      </c>
      <c r="H6" s="17">
        <f t="shared" si="1"/>
        <v>124745.47466780768</v>
      </c>
      <c r="I6" s="17">
        <f t="shared" si="2"/>
        <v>1722254.5253321924</v>
      </c>
    </row>
    <row r="7" spans="1:9" ht="15.75" customHeight="1" x14ac:dyDescent="0.25">
      <c r="A7" s="5">
        <f t="shared" si="3"/>
        <v>2026</v>
      </c>
      <c r="B7" s="49">
        <v>107652.7176</v>
      </c>
      <c r="C7" s="50">
        <v>283000</v>
      </c>
      <c r="D7" s="50">
        <v>548000</v>
      </c>
      <c r="E7" s="50">
        <v>548000</v>
      </c>
      <c r="F7" s="50">
        <v>480000</v>
      </c>
      <c r="G7" s="17">
        <f t="shared" si="0"/>
        <v>1859000</v>
      </c>
      <c r="H7" s="17">
        <f t="shared" si="1"/>
        <v>123671.98254647653</v>
      </c>
      <c r="I7" s="17">
        <f t="shared" si="2"/>
        <v>1735328.0174535234</v>
      </c>
    </row>
    <row r="8" spans="1:9" ht="15.75" customHeight="1" x14ac:dyDescent="0.25">
      <c r="A8" s="5">
        <f t="shared" si="3"/>
        <v>2027</v>
      </c>
      <c r="B8" s="49">
        <v>106681.232</v>
      </c>
      <c r="C8" s="50">
        <v>283000</v>
      </c>
      <c r="D8" s="50">
        <v>549000</v>
      </c>
      <c r="E8" s="50">
        <v>548000</v>
      </c>
      <c r="F8" s="50">
        <v>490000</v>
      </c>
      <c r="G8" s="17">
        <f t="shared" si="0"/>
        <v>1870000</v>
      </c>
      <c r="H8" s="17">
        <f t="shared" si="1"/>
        <v>122555.93501097658</v>
      </c>
      <c r="I8" s="17">
        <f t="shared" si="2"/>
        <v>1747444.0649890234</v>
      </c>
    </row>
    <row r="9" spans="1:9" ht="15.75" customHeight="1" x14ac:dyDescent="0.25">
      <c r="A9" s="5">
        <f t="shared" si="3"/>
        <v>2028</v>
      </c>
      <c r="B9" s="49">
        <v>105657.4414</v>
      </c>
      <c r="C9" s="50">
        <v>281000</v>
      </c>
      <c r="D9" s="50">
        <v>548000</v>
      </c>
      <c r="E9" s="50">
        <v>548000</v>
      </c>
      <c r="F9" s="50">
        <v>500000</v>
      </c>
      <c r="G9" s="17">
        <f t="shared" si="0"/>
        <v>1877000</v>
      </c>
      <c r="H9" s="17">
        <f t="shared" si="1"/>
        <v>121379.79922883215</v>
      </c>
      <c r="I9" s="17">
        <f t="shared" si="2"/>
        <v>1755620.2007711679</v>
      </c>
    </row>
    <row r="10" spans="1:9" ht="15.75" customHeight="1" x14ac:dyDescent="0.25">
      <c r="A10" s="5">
        <f t="shared" si="3"/>
        <v>2029</v>
      </c>
      <c r="B10" s="49">
        <v>104597.18640000001</v>
      </c>
      <c r="C10" s="50">
        <v>280000</v>
      </c>
      <c r="D10" s="50">
        <v>548000</v>
      </c>
      <c r="E10" s="50">
        <v>547000</v>
      </c>
      <c r="F10" s="50">
        <v>509000</v>
      </c>
      <c r="G10" s="17">
        <f t="shared" si="0"/>
        <v>1884000</v>
      </c>
      <c r="H10" s="17">
        <f t="shared" si="1"/>
        <v>120161.77296086535</v>
      </c>
      <c r="I10" s="17">
        <f t="shared" si="2"/>
        <v>1763838.2270391346</v>
      </c>
    </row>
    <row r="11" spans="1:9" ht="15.75" customHeight="1" x14ac:dyDescent="0.25">
      <c r="A11" s="5">
        <f t="shared" si="3"/>
        <v>2030</v>
      </c>
      <c r="B11" s="49">
        <v>103456.41800000001</v>
      </c>
      <c r="C11" s="50">
        <v>279000</v>
      </c>
      <c r="D11" s="50">
        <v>549000</v>
      </c>
      <c r="E11" s="50">
        <v>546000</v>
      </c>
      <c r="F11" s="50">
        <v>517000</v>
      </c>
      <c r="G11" s="17">
        <f t="shared" si="0"/>
        <v>1891000</v>
      </c>
      <c r="H11" s="17">
        <f t="shared" si="1"/>
        <v>118851.25249468836</v>
      </c>
      <c r="I11" s="17">
        <f t="shared" si="2"/>
        <v>1772148.7475053116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oaW0mR1BbATFAYugiNO6rpHFnoScSUM9NgfoDSzNroHfWudiw28Gz9x8fxvQqxk4aJTGkE8rts0lGxShLzEi2w==" saltValue="aC8dMYoLalsn4dgkbf5Za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3.2341519637991745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3.2341519637991745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1.9727489387517523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1.9727489387517523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2.0821218042647911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2.0821218042647911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1.5897663199833212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1.5897663199833212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6.1408408908463379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6.1408408908463379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2.4848548545894751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2.4848548545894751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2AXQLj1Y3yLS2z2KUjqegWJME1K1FwxAk2DAnyAyqYnjor7CRtS09+SwLo0QVpRVXZsfDkiR0lPb6UQbZ8uFBw==" saltValue="GzNJHYQr6AacbyGHdzxWm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s93ygc5xIclNcT7I8aYmB6sDX885n+nkobjtKvbifrsPMqElwW8O9ZVELT43EcpaMDgzKzz69cCfLVlqGTVfA==" saltValue="hZFG+i/eoWAUXTsJWs6K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37qw6bBNfH9QgtHWoEsWLqncS8DFT5TPtSTHGJrzeI8waIoPkkdvmuhwhAuIeAwp9Wzz5x873LKYA0bIKDS2vw==" saltValue="shOwKqT38AONfQBasZ9lV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0.60834862480554175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0.58410544539278364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0.86499851810683859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0.85279785875364278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0.86499851810683859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0.85279785875364278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0.40705576062616727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0.38298998119212235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0.83196427968347231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0.81740836983809528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0.83196427968347231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0.81740836983809528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0.90948466961294738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0.9008435468034357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0.89831553127433239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0.88873857904016973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0.89831553127433239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0.88873857904016973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q/kJPO5WwXxmTgqKgkgub32gVLnrXS4f5tUtIAbTsqZ8K/y3KmDmUI76dq3e/ziRMCOPeTdbS51Rm59/5Ly/QQ==" saltValue="IApeBbCyiGNYCcrrYuM2F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IkU/nanZC4n79Z+ZJMkOyPZg8JyzABNp78wn+DKXdaJ4AzvBKfTw1jALUsOIreBNmFl/H25ZgJDbirKsM8Y7sg==" saltValue="2/s0wvyDcaQkCSd6FKwD7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0.61864281357603867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0.66295160095059957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0.66295160095059957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0.65642485520761751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0.65642485520761751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0.65642485520761751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0.65642485520761751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0.68380160809467883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0.68380160809467883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0.68380160809467883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0.68380160809467883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0.71618672599770816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0.75367477052542808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0.75367477052542808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0.74823766364551869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0.74823766364551869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0.74823766364551869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0.74823766364551869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0.77085242896425299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0.77085242896425299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0.77085242896425299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0.77085242896425299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0.42547746816424487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0.47311507772173733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0.47311507772173733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0.46587399270801882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0.46587399270801882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0.46587399270801882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0.46587399270801882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0.49679480167151646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0.49679480167151646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0.49679480167151646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0.49679480167151646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0.59547066879544441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0.64090901350782958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0.64090901350782958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0.63419095232288736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0.63419095232288736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0.63419095232288736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0.63419095232288736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0.66242826600652627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0.66242826600652627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0.66242826600652627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0.66242826600652627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0.95326629777288452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0.96113842735382637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0.96113842735382637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0.96003783085345873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0.96003783085345873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0.96003783085345873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0.96003783085345873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0.96452936377502163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0.96452936377502163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0.96452936377502163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0.96452936377502163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0.8788598243481367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0.89792336557486896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0.89792336557486896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0.89522761799989525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0.89522761799989525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0.89522761799989525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0.89522761799989525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0.90629246122850593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0.90629246122850593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0.90629246122850593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0.90629246122850593</v>
      </c>
    </row>
  </sheetData>
  <sheetProtection algorithmName="SHA-512" hashValue="TC609BdxDn7Ljq4Ez8AORO8K1HvfgwN8Tc95/YtUyG7cM8Fu86mu8GVM5pdzkD0yuwEnHtL1+VgxvedRTjru0A==" saltValue="SE6ucc43FvgHccsadDUQK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0.74728356411517705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0.75054021619488287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0.75118130923614523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0.75124707721192396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0.74864045688619774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0.75059366967008545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0.74987782157056315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0.75066372494337785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0.64375515044118159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0.64771699832384932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0.64849858377757663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0.64857879562229537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0.64540414450401695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0.64778214483579788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0.64691002102930972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0.6478675306084426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0.8591315409917325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0.86121453981643881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0.86162364720903661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0.86166559888480476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0.86000040371823117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0.86124866248884724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0.8607915131988253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0.8612933798551401</v>
      </c>
    </row>
  </sheetData>
  <sheetProtection algorithmName="SHA-512" hashValue="Z4LFtBfHTplZwJrxstSeghnPoEhVOnmef7qbFYObbmmlIGXIRmcpDXHehRadOUG0OUGQY38+nXzkM4yrGDlPHw==" saltValue="hoVWyy3Yqfn/MTYsT4HFj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bKjTfBlDwGHqcCExQOBBTAuyN/uSuVd1AdV5KcB2tVfzoa1F5+vnsDgN4HiCSGjTIMusF5X3LoKMnxLEuZqtbA==" saltValue="wiMVczIciAcb6SnqeLkK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W4Es9XGkflillQyJlFHUrBuTr4WDuMk9CZzm86LEoHRDEsIcmD694Tv7IBfD425kXqQYEUxRSXy0+eiDPSY3g==" saltValue="db9/7yYmbKqtWDyglk5NnQ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0</v>
      </c>
    </row>
    <row r="4" spans="1:8" ht="15.75" customHeight="1" x14ac:dyDescent="0.25">
      <c r="B4" s="19" t="s">
        <v>79</v>
      </c>
      <c r="C4" s="101">
        <v>0.18407741921508111</v>
      </c>
    </row>
    <row r="5" spans="1:8" ht="15.75" customHeight="1" x14ac:dyDescent="0.25">
      <c r="B5" s="19" t="s">
        <v>80</v>
      </c>
      <c r="C5" s="101">
        <v>8.4951891261662874E-2</v>
      </c>
    </row>
    <row r="6" spans="1:8" ht="15.75" customHeight="1" x14ac:dyDescent="0.25">
      <c r="B6" s="19" t="s">
        <v>81</v>
      </c>
      <c r="C6" s="101">
        <v>0.1465530639351029</v>
      </c>
    </row>
    <row r="7" spans="1:8" ht="15.75" customHeight="1" x14ac:dyDescent="0.25">
      <c r="B7" s="19" t="s">
        <v>82</v>
      </c>
      <c r="C7" s="101">
        <v>0.35495117807876869</v>
      </c>
    </row>
    <row r="8" spans="1:8" ht="15.75" customHeight="1" x14ac:dyDescent="0.25">
      <c r="B8" s="19" t="s">
        <v>83</v>
      </c>
      <c r="C8" s="101">
        <v>0</v>
      </c>
    </row>
    <row r="9" spans="1:8" ht="15.75" customHeight="1" x14ac:dyDescent="0.25">
      <c r="B9" s="19" t="s">
        <v>84</v>
      </c>
      <c r="C9" s="101">
        <v>0.20251883570787621</v>
      </c>
    </row>
    <row r="10" spans="1:8" ht="15.75" customHeight="1" x14ac:dyDescent="0.25">
      <c r="B10" s="19" t="s">
        <v>85</v>
      </c>
      <c r="C10" s="101">
        <v>2.6947611801508221E-2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6.3160777402130719E-2</v>
      </c>
      <c r="D14" s="55">
        <v>6.3160777402130719E-2</v>
      </c>
      <c r="E14" s="55">
        <v>6.3160777402130719E-2</v>
      </c>
      <c r="F14" s="55">
        <v>6.3160777402130719E-2</v>
      </c>
    </row>
    <row r="15" spans="1:8" ht="15.75" customHeight="1" x14ac:dyDescent="0.25">
      <c r="B15" s="19" t="s">
        <v>88</v>
      </c>
      <c r="C15" s="101">
        <v>0.2640140279533173</v>
      </c>
      <c r="D15" s="101">
        <v>0.2640140279533173</v>
      </c>
      <c r="E15" s="101">
        <v>0.2640140279533173</v>
      </c>
      <c r="F15" s="101">
        <v>0.2640140279533173</v>
      </c>
    </row>
    <row r="16" spans="1:8" ht="15.75" customHeight="1" x14ac:dyDescent="0.25">
      <c r="B16" s="19" t="s">
        <v>89</v>
      </c>
      <c r="C16" s="101">
        <v>3.2300675772618428E-2</v>
      </c>
      <c r="D16" s="101">
        <v>3.2300675772618428E-2</v>
      </c>
      <c r="E16" s="101">
        <v>3.2300675772618428E-2</v>
      </c>
      <c r="F16" s="101">
        <v>3.2300675772618428E-2</v>
      </c>
    </row>
    <row r="17" spans="1:8" ht="15.75" customHeight="1" x14ac:dyDescent="0.25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91</v>
      </c>
      <c r="C18" s="101">
        <v>3.241657160802696E-3</v>
      </c>
      <c r="D18" s="101">
        <v>3.241657160802696E-3</v>
      </c>
      <c r="E18" s="101">
        <v>3.241657160802696E-3</v>
      </c>
      <c r="F18" s="101">
        <v>3.241657160802696E-3</v>
      </c>
    </row>
    <row r="19" spans="1:8" ht="15.75" customHeight="1" x14ac:dyDescent="0.25">
      <c r="B19" s="19" t="s">
        <v>92</v>
      </c>
      <c r="C19" s="101">
        <v>1.0754561674721811E-2</v>
      </c>
      <c r="D19" s="101">
        <v>1.0754561674721811E-2</v>
      </c>
      <c r="E19" s="101">
        <v>1.0754561674721811E-2</v>
      </c>
      <c r="F19" s="101">
        <v>1.0754561674721811E-2</v>
      </c>
    </row>
    <row r="20" spans="1:8" ht="15.75" customHeight="1" x14ac:dyDescent="0.25">
      <c r="B20" s="19" t="s">
        <v>93</v>
      </c>
      <c r="C20" s="101">
        <v>1.210494177995583E-2</v>
      </c>
      <c r="D20" s="101">
        <v>1.210494177995583E-2</v>
      </c>
      <c r="E20" s="101">
        <v>1.210494177995583E-2</v>
      </c>
      <c r="F20" s="101">
        <v>1.210494177995583E-2</v>
      </c>
    </row>
    <row r="21" spans="1:8" ht="15.75" customHeight="1" x14ac:dyDescent="0.25">
      <c r="B21" s="19" t="s">
        <v>94</v>
      </c>
      <c r="C21" s="101">
        <v>0.10025561751623251</v>
      </c>
      <c r="D21" s="101">
        <v>0.10025561751623251</v>
      </c>
      <c r="E21" s="101">
        <v>0.10025561751623251</v>
      </c>
      <c r="F21" s="101">
        <v>0.10025561751623251</v>
      </c>
    </row>
    <row r="22" spans="1:8" ht="15.75" customHeight="1" x14ac:dyDescent="0.25">
      <c r="B22" s="19" t="s">
        <v>95</v>
      </c>
      <c r="C22" s="101">
        <v>0.51416774074022076</v>
      </c>
      <c r="D22" s="101">
        <v>0.51416774074022076</v>
      </c>
      <c r="E22" s="101">
        <v>0.51416774074022076</v>
      </c>
      <c r="F22" s="101">
        <v>0.51416774074022076</v>
      </c>
    </row>
    <row r="23" spans="1:8" ht="15.75" customHeight="1" x14ac:dyDescent="0.25">
      <c r="B23" s="27" t="s">
        <v>41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3.3953507000000001E-2</v>
      </c>
    </row>
    <row r="27" spans="1:8" ht="15.75" customHeight="1" x14ac:dyDescent="0.25">
      <c r="B27" s="19" t="s">
        <v>102</v>
      </c>
      <c r="C27" s="101">
        <v>3.6358831000000001E-2</v>
      </c>
    </row>
    <row r="28" spans="1:8" ht="15.75" customHeight="1" x14ac:dyDescent="0.25">
      <c r="B28" s="19" t="s">
        <v>103</v>
      </c>
      <c r="C28" s="101">
        <v>0.29059849599999998</v>
      </c>
    </row>
    <row r="29" spans="1:8" ht="15.75" customHeight="1" x14ac:dyDescent="0.25">
      <c r="B29" s="19" t="s">
        <v>104</v>
      </c>
      <c r="C29" s="101">
        <v>0.18423973499999999</v>
      </c>
    </row>
    <row r="30" spans="1:8" ht="15.75" customHeight="1" x14ac:dyDescent="0.25">
      <c r="B30" s="19" t="s">
        <v>2</v>
      </c>
      <c r="C30" s="101">
        <v>8.8893533999999996E-2</v>
      </c>
    </row>
    <row r="31" spans="1:8" ht="15.75" customHeight="1" x14ac:dyDescent="0.25">
      <c r="B31" s="19" t="s">
        <v>105</v>
      </c>
      <c r="C31" s="101">
        <v>4.6759898000000001E-2</v>
      </c>
    </row>
    <row r="32" spans="1:8" ht="15.75" customHeight="1" x14ac:dyDescent="0.25">
      <c r="B32" s="19" t="s">
        <v>106</v>
      </c>
      <c r="C32" s="101">
        <v>5.1759430999999988E-2</v>
      </c>
    </row>
    <row r="33" spans="2:3" ht="15.75" customHeight="1" x14ac:dyDescent="0.25">
      <c r="B33" s="19" t="s">
        <v>107</v>
      </c>
      <c r="C33" s="101">
        <v>0.101392051</v>
      </c>
    </row>
    <row r="34" spans="2:3" ht="15.75" customHeight="1" x14ac:dyDescent="0.25">
      <c r="B34" s="19" t="s">
        <v>108</v>
      </c>
      <c r="C34" s="101">
        <v>0.166044517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E+4244ICTbVv1nemk8LONrkC6Xnrv7bbsJx8SWZJ+HDcxlantDA4ZcJbu2Wbh9le3V6D6+ATZMIhC85S2b/Jtg==" saltValue="1xW8Nb8ha2/PrxFjEcke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0.67770640468616483</v>
      </c>
      <c r="D2" s="52">
        <f>IFERROR(1-_xlfn.NORM.DIST(_xlfn.NORM.INV(SUM(D4:D5), 0, 1) + 1, 0, 1, TRUE), "")</f>
        <v>0.67770640468616483</v>
      </c>
      <c r="E2" s="52">
        <f>IFERROR(1-_xlfn.NORM.DIST(_xlfn.NORM.INV(SUM(E4:E5), 0, 1) + 1, 0, 1, TRUE), "")</f>
        <v>0.55732232592936837</v>
      </c>
      <c r="F2" s="52">
        <f>IFERROR(1-_xlfn.NORM.DIST(_xlfn.NORM.INV(SUM(F4:F5), 0, 1) + 1, 0, 1, TRUE), "")</f>
        <v>0.42326140993834582</v>
      </c>
      <c r="G2" s="52">
        <f>IFERROR(1-_xlfn.NORM.DIST(_xlfn.NORM.INV(SUM(G4:G5), 0, 1) + 1, 0, 1, TRUE), "")</f>
        <v>0.38841072127214149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0.25032630273680695</v>
      </c>
      <c r="D3" s="52">
        <f>IFERROR(_xlfn.NORM.DIST(_xlfn.NORM.INV(SUM(D4:D5), 0, 1) + 1, 0, 1, TRUE) - SUM(D4:D5), "")</f>
        <v>0.25032630273680695</v>
      </c>
      <c r="E3" s="52">
        <f>IFERROR(_xlfn.NORM.DIST(_xlfn.NORM.INV(SUM(E4:E5), 0, 1) + 1, 0, 1, TRUE) - SUM(E4:E5), "")</f>
        <v>0.31640396006468452</v>
      </c>
      <c r="F3" s="52">
        <f>IFERROR(_xlfn.NORM.DIST(_xlfn.NORM.INV(SUM(F4:F5), 0, 1) + 1, 0, 1, TRUE) - SUM(F4:F5), "")</f>
        <v>0.36674487745760859</v>
      </c>
      <c r="G3" s="52">
        <f>IFERROR(_xlfn.NORM.DIST(_xlfn.NORM.INV(SUM(G4:G5), 0, 1) + 1, 0, 1, TRUE) - SUM(G4:G5), "")</f>
        <v>0.37475916340955978</v>
      </c>
    </row>
    <row r="4" spans="1:15" ht="15.75" customHeight="1" x14ac:dyDescent="0.25">
      <c r="B4" s="5" t="s">
        <v>114</v>
      </c>
      <c r="C4" s="45">
        <v>5.2427388727664913E-2</v>
      </c>
      <c r="D4" s="53">
        <v>5.2427388727664913E-2</v>
      </c>
      <c r="E4" s="53">
        <v>8.9375786483287797E-2</v>
      </c>
      <c r="F4" s="53">
        <v>0.143905699253082</v>
      </c>
      <c r="G4" s="53">
        <v>0.17227077484130901</v>
      </c>
    </row>
    <row r="5" spans="1:15" ht="15.75" customHeight="1" x14ac:dyDescent="0.25">
      <c r="B5" s="5" t="s">
        <v>115</v>
      </c>
      <c r="C5" s="45">
        <v>1.9539903849363299E-2</v>
      </c>
      <c r="D5" s="53">
        <v>1.9539903849363299E-2</v>
      </c>
      <c r="E5" s="53">
        <v>3.6897927522659302E-2</v>
      </c>
      <c r="F5" s="53">
        <v>6.6088013350963606E-2</v>
      </c>
      <c r="G5" s="53">
        <v>6.4559340476989704E-2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0.76897548849049768</v>
      </c>
      <c r="D8" s="52">
        <f>IFERROR(1-_xlfn.NORM.DIST(_xlfn.NORM.INV(SUM(D10:D11), 0, 1) + 1, 0, 1, TRUE), "")</f>
        <v>0.76897548849049768</v>
      </c>
      <c r="E8" s="52">
        <f>IFERROR(1-_xlfn.NORM.DIST(_xlfn.NORM.INV(SUM(E10:E11), 0, 1) + 1, 0, 1, TRUE), "")</f>
        <v>0.88440555664625908</v>
      </c>
      <c r="F8" s="52">
        <f>IFERROR(1-_xlfn.NORM.DIST(_xlfn.NORM.INV(SUM(F10:F11), 0, 1) + 1, 0, 1, TRUE), "")</f>
        <v>0.88235053414313036</v>
      </c>
      <c r="G8" s="52">
        <f>IFERROR(1-_xlfn.NORM.DIST(_xlfn.NORM.INV(SUM(G10:G11), 0, 1) + 1, 0, 1, TRUE), "")</f>
        <v>0.90845576343009804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0.18969633837875166</v>
      </c>
      <c r="D9" s="52">
        <f>IFERROR(_xlfn.NORM.DIST(_xlfn.NORM.INV(SUM(D10:D11), 0, 1) + 1, 0, 1, TRUE) - SUM(D10:D11), "")</f>
        <v>0.18969633837875166</v>
      </c>
      <c r="E9" s="52">
        <f>IFERROR(_xlfn.NORM.DIST(_xlfn.NORM.INV(SUM(E10:E11), 0, 1) + 1, 0, 1, TRUE) - SUM(E10:E11), "")</f>
        <v>0.10159499892118425</v>
      </c>
      <c r="F9" s="52">
        <f>IFERROR(_xlfn.NORM.DIST(_xlfn.NORM.INV(SUM(F10:F11), 0, 1) + 1, 0, 1, TRUE) - SUM(F10:F11), "")</f>
        <v>0.10327160434031946</v>
      </c>
      <c r="G9" s="52">
        <f>IFERROR(_xlfn.NORM.DIST(_xlfn.NORM.INV(SUM(G10:G11), 0, 1) + 1, 0, 1, TRUE) - SUM(G10:G11), "")</f>
        <v>8.1675611251270402E-2</v>
      </c>
    </row>
    <row r="10" spans="1:15" ht="15.75" customHeight="1" x14ac:dyDescent="0.25">
      <c r="B10" s="5" t="s">
        <v>119</v>
      </c>
      <c r="C10" s="45">
        <v>1.71395614743233E-2</v>
      </c>
      <c r="D10" s="53">
        <v>1.71395614743233E-2</v>
      </c>
      <c r="E10" s="53">
        <v>6.8579628132283696E-3</v>
      </c>
      <c r="F10" s="53">
        <v>1.0644786991179E-2</v>
      </c>
      <c r="G10" s="53">
        <v>6.4862035214901014E-3</v>
      </c>
    </row>
    <row r="11" spans="1:15" ht="15.75" customHeight="1" x14ac:dyDescent="0.25">
      <c r="B11" s="5" t="s">
        <v>120</v>
      </c>
      <c r="C11" s="45">
        <v>2.4188611656427401E-2</v>
      </c>
      <c r="D11" s="53">
        <v>2.4188611656427401E-2</v>
      </c>
      <c r="E11" s="53">
        <v>7.1414816193282604E-3</v>
      </c>
      <c r="F11" s="53">
        <v>3.73307452537119E-3</v>
      </c>
      <c r="G11" s="53">
        <v>3.3824217971414302E-3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0.39236330375000011</v>
      </c>
      <c r="D14" s="54">
        <v>0.36913915626799998</v>
      </c>
      <c r="E14" s="54">
        <v>0.36913915626799998</v>
      </c>
      <c r="F14" s="54">
        <v>0.23508163157600001</v>
      </c>
      <c r="G14" s="54">
        <v>0.23508163157600001</v>
      </c>
      <c r="H14" s="45">
        <v>0.25700000000000001</v>
      </c>
      <c r="I14" s="55">
        <v>0.25700000000000001</v>
      </c>
      <c r="J14" s="55">
        <v>0.25700000000000001</v>
      </c>
      <c r="K14" s="55">
        <v>0.25700000000000001</v>
      </c>
      <c r="L14" s="45">
        <v>0.159</v>
      </c>
      <c r="M14" s="55">
        <v>0.159</v>
      </c>
      <c r="N14" s="55">
        <v>0.159</v>
      </c>
      <c r="O14" s="55">
        <v>0.159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0.19748547513336129</v>
      </c>
      <c r="D15" s="52">
        <f t="shared" si="0"/>
        <v>0.18579622755027855</v>
      </c>
      <c r="E15" s="52">
        <f t="shared" si="0"/>
        <v>0.18579622755027855</v>
      </c>
      <c r="F15" s="52">
        <f t="shared" si="0"/>
        <v>0.11832199204972704</v>
      </c>
      <c r="G15" s="52">
        <f t="shared" si="0"/>
        <v>0.11832199204972704</v>
      </c>
      <c r="H15" s="52">
        <f t="shared" si="0"/>
        <v>0.12935401099999999</v>
      </c>
      <c r="I15" s="52">
        <f t="shared" si="0"/>
        <v>0.12935401099999999</v>
      </c>
      <c r="J15" s="52">
        <f t="shared" si="0"/>
        <v>0.12935401099999999</v>
      </c>
      <c r="K15" s="52">
        <f t="shared" si="0"/>
        <v>0.12935401099999999</v>
      </c>
      <c r="L15" s="52">
        <f t="shared" si="0"/>
        <v>8.0028356999999994E-2</v>
      </c>
      <c r="M15" s="52">
        <f t="shared" si="0"/>
        <v>8.0028356999999994E-2</v>
      </c>
      <c r="N15" s="52">
        <f t="shared" si="0"/>
        <v>8.0028356999999994E-2</v>
      </c>
      <c r="O15" s="52">
        <f t="shared" si="0"/>
        <v>8.0028356999999994E-2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5bKWxl9cn6NElBQfW10pjQaNIHEzRMDdOweN21gQnipbR4+NHGgYBdk8nIwEvA+7z10XKiB/ZUxICGJAs1D+hw==" saltValue="ZMp7Lu/XvzgAprwrVRZL5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0.48034974932670599</v>
      </c>
      <c r="D2" s="53">
        <v>0.27199479999999998</v>
      </c>
      <c r="E2" s="53"/>
      <c r="F2" s="53"/>
      <c r="G2" s="53"/>
    </row>
    <row r="3" spans="1:7" x14ac:dyDescent="0.25">
      <c r="B3" s="3" t="s">
        <v>130</v>
      </c>
      <c r="C3" s="53">
        <v>0.136439979076385</v>
      </c>
      <c r="D3" s="53">
        <v>0.1572112</v>
      </c>
      <c r="E3" s="53"/>
      <c r="F3" s="53"/>
      <c r="G3" s="53"/>
    </row>
    <row r="4" spans="1:7" x14ac:dyDescent="0.25">
      <c r="B4" s="3" t="s">
        <v>131</v>
      </c>
      <c r="C4" s="53">
        <v>0.350522041320801</v>
      </c>
      <c r="D4" s="53">
        <v>0.49163960000000001</v>
      </c>
      <c r="E4" s="53">
        <v>0.75345808267593395</v>
      </c>
      <c r="F4" s="53">
        <v>0.56451863050460804</v>
      </c>
      <c r="G4" s="53"/>
    </row>
    <row r="5" spans="1:7" x14ac:dyDescent="0.25">
      <c r="B5" s="3" t="s">
        <v>132</v>
      </c>
      <c r="C5" s="52">
        <v>3.2688230276107802E-2</v>
      </c>
      <c r="D5" s="52">
        <v>7.9154416918754605E-2</v>
      </c>
      <c r="E5" s="52">
        <f>1-SUM(E2:E4)</f>
        <v>0.24654191732406605</v>
      </c>
      <c r="F5" s="52">
        <f>1-SUM(F2:F4)</f>
        <v>0.43548136949539196</v>
      </c>
      <c r="G5" s="52">
        <f>1-SUM(G2:G4)</f>
        <v>1</v>
      </c>
    </row>
  </sheetData>
  <sheetProtection algorithmName="SHA-512" hashValue="tgcCwYlijBBPAhe7ZEpeg0KKbXr4P/0Mzmn2JvwKjGMVuK5ZuZEDLkIraPCstSH/9xJH8W1GgHps8SrbHN0EQg==" saltValue="H0wp9HMidWaJEusSWmVM0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3MJU790e2a9VfoSVvndGSHfeYCYfND/t9UyWleCRVnalcwWk0zSzH25ZNjQ2YEpsGR9GcG8MV7iGj66zlXY8EA==" saltValue="5+wkQL/4RwkKgf6bPylUYg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8hwWr46wVOPgHL1u/XJ3InCoM75jx6NzXyIAdoTwqHpX3RuUNMqEZpH/2HNR/0NCBeIGZV/h/MNJaRb3ch/vkA==" saltValue="KD9nOkSrSZNuxG3Ve2oB3w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RDjIc6TQFWzjyDAGB5zY3qKG6tDkqapgNaA+aEMYjq2K21h+ZBMUGhaIFvjSLXF9iEau52Ehlcr6NyIewYDw5g==" saltValue="HBFXRZ5smSRWJoU3Q4Pl1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ADRWf5pSLndrt6jcGGOCmKF4IEnqYoy1RYnUPyx4SS/zSi7R2V8YDpvvHodbZSYzBlWd+rSWEDvUP8HoeZxGAw==" saltValue="H/zDLt0eo4GX75waXyVKb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2024-03-18T01:49:48Z</dcterms:modified>
</cp:coreProperties>
</file>