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fr\LiST countries\"/>
    </mc:Choice>
  </mc:AlternateContent>
  <xr:revisionPtr revIDLastSave="0" documentId="8_{B1387DBD-64A1-4E31-9BDA-BE9E95CAA997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H136" i="27"/>
  <c r="G136" i="27"/>
  <c r="F136" i="27"/>
  <c r="E136" i="27"/>
  <c r="H135" i="27"/>
  <c r="G135" i="27"/>
  <c r="F135" i="27"/>
  <c r="E135" i="27"/>
  <c r="D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E130" i="27"/>
  <c r="D130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E112" i="27"/>
  <c r="D112" i="27"/>
  <c r="H97" i="27"/>
  <c r="H152" i="27" s="1"/>
  <c r="G97" i="27"/>
  <c r="G152" i="27" s="1"/>
  <c r="F97" i="27"/>
  <c r="F152" i="27" s="1"/>
  <c r="E97" i="27"/>
  <c r="E152" i="27" s="1"/>
  <c r="D97" i="27"/>
  <c r="D152" i="27" s="1"/>
  <c r="H81" i="27"/>
  <c r="G81" i="27"/>
  <c r="F81" i="27"/>
  <c r="E81" i="27"/>
  <c r="H80" i="27"/>
  <c r="G80" i="27"/>
  <c r="F80" i="27"/>
  <c r="E80" i="27"/>
  <c r="D80" i="27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D131" i="27" s="1"/>
  <c r="E75" i="27"/>
  <c r="D75" i="27"/>
  <c r="H74" i="27"/>
  <c r="H129" i="27" s="1"/>
  <c r="G74" i="27"/>
  <c r="G129" i="27" s="1"/>
  <c r="F74" i="27"/>
  <c r="F129" i="27" s="1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H112" i="27" s="1"/>
  <c r="G57" i="27"/>
  <c r="G112" i="27" s="1"/>
  <c r="F57" i="27"/>
  <c r="F112" i="27" s="1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I40" i="2" s="1"/>
  <c r="G40" i="2"/>
  <c r="H39" i="2"/>
  <c r="G39" i="2"/>
  <c r="I39" i="2" s="1"/>
  <c r="H38" i="2"/>
  <c r="I38" i="2" s="1"/>
  <c r="G38" i="2"/>
  <c r="H11" i="2"/>
  <c r="I11" i="2" s="1"/>
  <c r="G11" i="2"/>
  <c r="H10" i="2"/>
  <c r="G10" i="2"/>
  <c r="I10" i="2" s="1"/>
  <c r="H9" i="2"/>
  <c r="I9" i="2" s="1"/>
  <c r="G9" i="2"/>
  <c r="H8" i="2"/>
  <c r="G8" i="2"/>
  <c r="I8" i="2" s="1"/>
  <c r="I7" i="2"/>
  <c r="H7" i="2"/>
  <c r="G7" i="2"/>
  <c r="H6" i="2"/>
  <c r="G6" i="2"/>
  <c r="I6" i="2" s="1"/>
  <c r="H5" i="2"/>
  <c r="I5" i="2" s="1"/>
  <c r="G5" i="2"/>
  <c r="H4" i="2"/>
  <c r="G4" i="2"/>
  <c r="H3" i="2"/>
  <c r="I3" i="2" s="1"/>
  <c r="G3" i="2"/>
  <c r="H2" i="2"/>
  <c r="G2" i="2"/>
  <c r="I2" i="2" s="1"/>
  <c r="A2" i="2"/>
  <c r="A31" i="2" s="1"/>
  <c r="C33" i="1"/>
  <c r="C20" i="1"/>
  <c r="A30" i="2" l="1"/>
  <c r="A13" i="2"/>
  <c r="A34" i="2"/>
  <c r="A25" i="2"/>
  <c r="A19" i="2"/>
  <c r="A37" i="2"/>
  <c r="A21" i="2"/>
  <c r="A39" i="2"/>
  <c r="A22" i="2"/>
  <c r="A33" i="2"/>
  <c r="A24" i="2"/>
  <c r="A35" i="2"/>
  <c r="A26" i="2"/>
  <c r="A17" i="2"/>
  <c r="A27" i="2"/>
  <c r="A38" i="2"/>
  <c r="A32" i="2"/>
  <c r="A3" i="2"/>
  <c r="A4" i="2" s="1"/>
  <c r="A5" i="2" s="1"/>
  <c r="A6" i="2" s="1"/>
  <c r="A7" i="2" s="1"/>
  <c r="A8" i="2" s="1"/>
  <c r="A9" i="2" s="1"/>
  <c r="A10" i="2" s="1"/>
  <c r="A11" i="2" s="1"/>
  <c r="A14" i="2"/>
  <c r="A40" i="2"/>
  <c r="A16" i="2"/>
  <c r="I4" i="2"/>
  <c r="A18" i="2"/>
  <c r="A29" i="2"/>
  <c r="A12" i="2"/>
  <c r="A20" i="2"/>
  <c r="A28" i="2"/>
  <c r="A36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<sst xmlns="http://schemas.openxmlformats.org/spreadsheetml/2006/main" count="2092" uniqueCount="337">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</sst>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25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13</v>
      </c>
      <c r="B1" s="29" t="s">
        <v>0</v>
      </c>
      <c r="C1" s="29" t="s">
        <v>66</v>
      </c>
    </row>
    <row r="2" spans="1:3" ht="15.9" customHeight="1" x14ac:dyDescent="0.3">
      <c r="A2" s="8" t="s">
        <v>14</v>
      </c>
      <c r="B2" s="29"/>
      <c r="C2" s="29"/>
    </row>
    <row r="3" spans="1:3" ht="15.9" customHeight="1" x14ac:dyDescent="0.3">
      <c r="A3" s="1"/>
      <c r="B3" s="5" t="s">
        <v>15</v>
      </c>
      <c r="C3" s="41">
        <v>2021</v>
      </c>
    </row>
    <row r="4" spans="1:3" ht="15.9" customHeight="1" x14ac:dyDescent="0.3">
      <c r="A4" s="1"/>
      <c r="B4" s="5" t="s">
        <v>16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17</v>
      </c>
    </row>
    <row r="7" spans="1:3" ht="15" customHeight="1" x14ac:dyDescent="0.25">
      <c r="B7" s="11" t="s">
        <v>18</v>
      </c>
      <c r="C7" s="43">
        <v>29759786</v>
      </c>
    </row>
    <row r="8" spans="1:3" ht="15" customHeight="1" x14ac:dyDescent="0.25">
      <c r="B8" s="5" t="s">
        <v>19</v>
      </c>
      <c r="C8" s="44">
        <v>3.9E-2</v>
      </c>
    </row>
    <row r="9" spans="1:3" ht="15" customHeight="1" x14ac:dyDescent="0.25">
      <c r="B9" s="5" t="s">
        <v>20</v>
      </c>
      <c r="C9" s="45">
        <v>2.1600000000000001E-2</v>
      </c>
    </row>
    <row r="10" spans="1:3" ht="15" customHeight="1" x14ac:dyDescent="0.25">
      <c r="B10" s="5" t="s">
        <v>21</v>
      </c>
      <c r="C10" s="45">
        <v>0.40135768890380902</v>
      </c>
    </row>
    <row r="11" spans="1:3" ht="15" customHeight="1" x14ac:dyDescent="0.25">
      <c r="B11" s="5" t="s">
        <v>22</v>
      </c>
      <c r="C11" s="45">
        <v>0.36599999999999999</v>
      </c>
    </row>
    <row r="12" spans="1:3" ht="15" customHeight="1" x14ac:dyDescent="0.25">
      <c r="B12" s="5" t="s">
        <v>23</v>
      </c>
      <c r="C12" s="45">
        <v>0.64400000000000002</v>
      </c>
    </row>
    <row r="13" spans="1:3" ht="15" customHeight="1" x14ac:dyDescent="0.25">
      <c r="B13" s="5" t="s">
        <v>24</v>
      </c>
      <c r="C13" s="45">
        <v>0.53</v>
      </c>
    </row>
    <row r="14" spans="1:3" ht="15" customHeight="1" x14ac:dyDescent="0.25">
      <c r="B14" s="8"/>
    </row>
    <row r="15" spans="1:3" ht="15" customHeight="1" x14ac:dyDescent="0.3">
      <c r="A15" s="8" t="s">
        <v>25</v>
      </c>
      <c r="B15" s="14"/>
      <c r="C15" s="3"/>
    </row>
    <row r="16" spans="1:3" ht="15" customHeight="1" x14ac:dyDescent="0.25">
      <c r="B16" s="5" t="s">
        <v>26</v>
      </c>
      <c r="C16" s="45">
        <v>0.1</v>
      </c>
    </row>
    <row r="17" spans="1:3" ht="15" customHeight="1" x14ac:dyDescent="0.25">
      <c r="B17" s="5" t="s">
        <v>27</v>
      </c>
      <c r="C17" s="45">
        <v>0.7</v>
      </c>
    </row>
    <row r="18" spans="1:3" ht="15" customHeight="1" x14ac:dyDescent="0.25">
      <c r="B18" s="5" t="s">
        <v>28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30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31</v>
      </c>
    </row>
    <row r="23" spans="1:3" ht="15" customHeight="1" x14ac:dyDescent="0.25">
      <c r="B23" s="15" t="s">
        <v>32</v>
      </c>
      <c r="C23" s="45">
        <v>6.6199999999999995E-2</v>
      </c>
    </row>
    <row r="24" spans="1:3" ht="15" customHeight="1" x14ac:dyDescent="0.25">
      <c r="B24" s="15" t="s">
        <v>33</v>
      </c>
      <c r="C24" s="45">
        <v>0.55289999999999995</v>
      </c>
    </row>
    <row r="25" spans="1:3" ht="15" customHeight="1" x14ac:dyDescent="0.25">
      <c r="B25" s="15" t="s">
        <v>34</v>
      </c>
      <c r="C25" s="45">
        <v>0.33850000000000002</v>
      </c>
    </row>
    <row r="26" spans="1:3" ht="15" customHeight="1" x14ac:dyDescent="0.25">
      <c r="B26" s="15" t="s">
        <v>35</v>
      </c>
      <c r="C26" s="45">
        <v>4.24E-2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36</v>
      </c>
      <c r="B28" s="15"/>
      <c r="C28" s="15"/>
    </row>
    <row r="29" spans="1:3" ht="14.25" customHeight="1" x14ac:dyDescent="0.25">
      <c r="B29" s="25" t="s">
        <v>37</v>
      </c>
      <c r="C29" s="45">
        <v>0.23226987666198901</v>
      </c>
    </row>
    <row r="30" spans="1:3" ht="14.25" customHeight="1" x14ac:dyDescent="0.25">
      <c r="B30" s="25" t="s">
        <v>38</v>
      </c>
      <c r="C30" s="99">
        <v>0.135366096495801</v>
      </c>
    </row>
    <row r="31" spans="1:3" ht="14.25" customHeight="1" x14ac:dyDescent="0.25">
      <c r="B31" s="25" t="s">
        <v>39</v>
      </c>
      <c r="C31" s="99">
        <v>0.14612612557943599</v>
      </c>
    </row>
    <row r="32" spans="1:3" ht="14.25" customHeight="1" x14ac:dyDescent="0.25">
      <c r="B32" s="25" t="s">
        <v>40</v>
      </c>
      <c r="C32" s="99">
        <v>0.486237901262774</v>
      </c>
    </row>
    <row r="33" spans="1:5" ht="13" customHeight="1" x14ac:dyDescent="0.25">
      <c r="B33" s="27" t="s">
        <v>41</v>
      </c>
      <c r="C33" s="48">
        <f>SUM(C29:C32)</f>
        <v>1</v>
      </c>
    </row>
    <row r="34" spans="1:5" ht="15" customHeight="1" x14ac:dyDescent="0.25"/>
    <row r="35" spans="1:5" ht="15" customHeight="1" x14ac:dyDescent="0.3">
      <c r="A35" s="4" t="s">
        <v>42</v>
      </c>
    </row>
    <row r="36" spans="1:5" ht="15" customHeight="1" x14ac:dyDescent="0.25">
      <c r="A36" s="8" t="s">
        <v>43</v>
      </c>
      <c r="B36" s="5"/>
    </row>
    <row r="37" spans="1:5" ht="15" customHeight="1" x14ac:dyDescent="0.25">
      <c r="B37" s="11" t="s">
        <v>44</v>
      </c>
      <c r="C37" s="43">
        <v>41.215947695787101</v>
      </c>
    </row>
    <row r="38" spans="1:5" ht="15" customHeight="1" x14ac:dyDescent="0.25">
      <c r="B38" s="11" t="s">
        <v>45</v>
      </c>
      <c r="C38" s="43">
        <v>55.663825037745802</v>
      </c>
      <c r="D38" s="12"/>
      <c r="E38" s="13"/>
    </row>
    <row r="39" spans="1:5" ht="15" customHeight="1" x14ac:dyDescent="0.25">
      <c r="B39" s="11" t="s">
        <v>46</v>
      </c>
      <c r="C39" s="43">
        <v>67.241911859455101</v>
      </c>
      <c r="D39" s="12"/>
      <c r="E39" s="12"/>
    </row>
    <row r="40" spans="1:5" ht="15" customHeight="1" x14ac:dyDescent="0.25">
      <c r="B40" s="11" t="s">
        <v>47</v>
      </c>
      <c r="C40" s="100">
        <v>1.4</v>
      </c>
    </row>
    <row r="41" spans="1:5" ht="15" customHeight="1" x14ac:dyDescent="0.25">
      <c r="B41" s="11" t="s">
        <v>48</v>
      </c>
      <c r="C41" s="45">
        <v>0.12</v>
      </c>
    </row>
    <row r="42" spans="1:5" ht="15" customHeight="1" x14ac:dyDescent="0.25">
      <c r="B42" s="11" t="s">
        <v>49</v>
      </c>
      <c r="C42" s="43">
        <v>30.625200799999998</v>
      </c>
    </row>
    <row r="43" spans="1:5" ht="15.75" customHeight="1" x14ac:dyDescent="0.25">
      <c r="D43" s="12"/>
    </row>
    <row r="44" spans="1:5" ht="15.75" customHeight="1" x14ac:dyDescent="0.25">
      <c r="A44" s="8" t="s">
        <v>50</v>
      </c>
      <c r="D44" s="12"/>
    </row>
    <row r="45" spans="1:5" ht="15.75" customHeight="1" x14ac:dyDescent="0.25">
      <c r="B45" s="11" t="s">
        <v>51</v>
      </c>
      <c r="C45" s="45">
        <v>1.86844E-2</v>
      </c>
      <c r="D45" s="12"/>
    </row>
    <row r="46" spans="1:5" ht="15.75" customHeight="1" x14ac:dyDescent="0.25">
      <c r="B46" s="11" t="s">
        <v>52</v>
      </c>
      <c r="C46" s="45">
        <v>0.1232801</v>
      </c>
      <c r="D46" s="12"/>
    </row>
    <row r="47" spans="1:5" ht="15.75" customHeight="1" x14ac:dyDescent="0.25">
      <c r="B47" s="11" t="s">
        <v>53</v>
      </c>
      <c r="C47" s="45">
        <v>0.35834389999999999</v>
      </c>
      <c r="D47" s="12"/>
      <c r="E47" s="13"/>
    </row>
    <row r="48" spans="1:5" ht="15" customHeight="1" x14ac:dyDescent="0.25">
      <c r="B48" s="11" t="s">
        <v>54</v>
      </c>
      <c r="C48" s="46">
        <v>0.49969160000000001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55</v>
      </c>
      <c r="D50" s="12"/>
    </row>
    <row r="51" spans="1:4" ht="15.75" customHeight="1" x14ac:dyDescent="0.25">
      <c r="B51" s="11" t="s">
        <v>56</v>
      </c>
      <c r="C51" s="100">
        <v>2.2000000000000002</v>
      </c>
      <c r="D51" s="12"/>
    </row>
    <row r="52" spans="1:4" ht="15" customHeight="1" x14ac:dyDescent="0.25">
      <c r="B52" s="11" t="s">
        <v>57</v>
      </c>
      <c r="C52" s="100">
        <v>2.2000000000000002</v>
      </c>
    </row>
    <row r="53" spans="1:4" ht="15.75" customHeight="1" x14ac:dyDescent="0.25">
      <c r="B53" s="11" t="s">
        <v>58</v>
      </c>
      <c r="C53" s="100">
        <v>2.2000000000000002</v>
      </c>
    </row>
    <row r="54" spans="1:4" ht="15.75" customHeight="1" x14ac:dyDescent="0.25">
      <c r="B54" s="11" t="s">
        <v>59</v>
      </c>
      <c r="C54" s="100">
        <v>2.2000000000000002</v>
      </c>
    </row>
    <row r="55" spans="1:4" ht="15.75" customHeight="1" x14ac:dyDescent="0.25">
      <c r="B55" s="11" t="s">
        <v>60</v>
      </c>
      <c r="C55" s="100">
        <v>2.2000000000000002</v>
      </c>
    </row>
    <row r="57" spans="1:4" ht="15.75" customHeight="1" x14ac:dyDescent="0.25">
      <c r="A57" s="8" t="s">
        <v>61</v>
      </c>
    </row>
    <row r="58" spans="1:4" ht="15.75" customHeight="1" x14ac:dyDescent="0.25">
      <c r="B58" s="5" t="s">
        <v>62</v>
      </c>
      <c r="C58" s="45">
        <v>2.1363636363636359E-2</v>
      </c>
    </row>
    <row r="59" spans="1:4" ht="15.75" customHeight="1" x14ac:dyDescent="0.25">
      <c r="B59" s="11" t="s">
        <v>63</v>
      </c>
      <c r="C59" s="45">
        <v>0.43655699999999997</v>
      </c>
    </row>
    <row r="60" spans="1:4" ht="15.75" customHeight="1" x14ac:dyDescent="0.25">
      <c r="B60" s="11" t="s">
        <v>64</v>
      </c>
      <c r="C60" s="45">
        <v>4.5999999999999999E-2</v>
      </c>
    </row>
    <row r="61" spans="1:4" ht="15.75" customHeight="1" x14ac:dyDescent="0.25">
      <c r="B61" s="11" t="s">
        <v>65</v>
      </c>
      <c r="C61" s="45">
        <v>1.4E-2</v>
      </c>
    </row>
    <row r="62" spans="1:4" ht="15.75" customHeight="1" x14ac:dyDescent="0.25">
      <c r="B62" s="11" t="s">
        <v>67</v>
      </c>
      <c r="C62" s="44">
        <v>0.14599999999999999</v>
      </c>
    </row>
    <row r="63" spans="1:4" ht="15.75" customHeight="1" x14ac:dyDescent="0.3">
      <c r="A63" s="4"/>
    </row>
  </sheetData>
  <sheetProtection algorithmName="SHA-512" hashValue="CF92J3Wf8ZUAV7+A31KOlXCmQZciUrE0VDPLxSGLQo2fc8wvB0sLEdn7/R0jjphqzoWeBKNAWsChtUDEBi7/2w==" saltValue="Qx0XitjjW8+sD3T+vVD8V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5">
      <c r="A2" s="5" t="s">
        <v>168</v>
      </c>
      <c r="B2" s="45">
        <v>0.226736138851383</v>
      </c>
      <c r="C2" s="98">
        <v>0.95</v>
      </c>
      <c r="D2" s="56">
        <v>40.804970183945777</v>
      </c>
      <c r="E2" s="56" t="s">
        <v>201</v>
      </c>
      <c r="F2" s="98">
        <v>1</v>
      </c>
      <c r="G2" s="98">
        <v>1</v>
      </c>
    </row>
    <row r="3" spans="1:7" ht="15.75" customHeight="1" x14ac:dyDescent="0.25">
      <c r="A3" s="5" t="s">
        <v>169</v>
      </c>
      <c r="B3" s="45">
        <v>0</v>
      </c>
      <c r="C3" s="98">
        <v>0.95</v>
      </c>
      <c r="D3" s="56">
        <v>42.58615056038073</v>
      </c>
      <c r="E3" s="56" t="s">
        <v>201</v>
      </c>
      <c r="F3" s="98">
        <v>1</v>
      </c>
      <c r="G3" s="98">
        <v>1</v>
      </c>
    </row>
    <row r="4" spans="1:7" ht="15.75" customHeight="1" x14ac:dyDescent="0.25">
      <c r="A4" s="5" t="s">
        <v>170</v>
      </c>
      <c r="B4" s="98">
        <v>0</v>
      </c>
      <c r="C4" s="98">
        <v>0.95</v>
      </c>
      <c r="D4" s="56">
        <v>144.36250163639161</v>
      </c>
      <c r="E4" s="56" t="s">
        <v>201</v>
      </c>
      <c r="F4" s="98">
        <v>1</v>
      </c>
      <c r="G4" s="98">
        <v>1</v>
      </c>
    </row>
    <row r="5" spans="1:7" ht="15.75" customHeight="1" x14ac:dyDescent="0.25">
      <c r="A5" s="5" t="s">
        <v>171</v>
      </c>
      <c r="B5" s="98">
        <v>0</v>
      </c>
      <c r="C5" s="98">
        <v>0.95</v>
      </c>
      <c r="D5" s="56">
        <v>0.35340291379351968</v>
      </c>
      <c r="E5" s="56" t="s">
        <v>201</v>
      </c>
      <c r="F5" s="98">
        <v>1</v>
      </c>
      <c r="G5" s="98">
        <v>1</v>
      </c>
    </row>
    <row r="6" spans="1:7" ht="15.75" customHeight="1" x14ac:dyDescent="0.25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5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5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5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5">
      <c r="A10" s="11" t="s">
        <v>176</v>
      </c>
      <c r="B10" s="45">
        <v>0</v>
      </c>
      <c r="C10" s="98">
        <v>0.95</v>
      </c>
      <c r="D10" s="56">
        <v>13.60386246040132</v>
      </c>
      <c r="E10" s="56" t="s">
        <v>201</v>
      </c>
      <c r="F10" s="98">
        <v>1</v>
      </c>
      <c r="G10" s="98">
        <v>1</v>
      </c>
    </row>
    <row r="11" spans="1:7" ht="15.75" customHeight="1" x14ac:dyDescent="0.25">
      <c r="A11" s="11" t="s">
        <v>177</v>
      </c>
      <c r="B11" s="98">
        <v>0</v>
      </c>
      <c r="C11" s="98">
        <v>0.95</v>
      </c>
      <c r="D11" s="56">
        <v>13.60386246040132</v>
      </c>
      <c r="E11" s="56" t="s">
        <v>201</v>
      </c>
      <c r="F11" s="98">
        <v>1</v>
      </c>
      <c r="G11" s="98">
        <v>1</v>
      </c>
    </row>
    <row r="12" spans="1:7" ht="15.75" customHeight="1" x14ac:dyDescent="0.25">
      <c r="A12" s="11" t="s">
        <v>178</v>
      </c>
      <c r="B12" s="98">
        <v>0</v>
      </c>
      <c r="C12" s="98">
        <v>0.95</v>
      </c>
      <c r="D12" s="56">
        <v>13.60386246040132</v>
      </c>
      <c r="E12" s="56" t="s">
        <v>201</v>
      </c>
      <c r="F12" s="98">
        <v>1</v>
      </c>
      <c r="G12" s="98">
        <v>1</v>
      </c>
    </row>
    <row r="13" spans="1:7" ht="15.75" customHeight="1" x14ac:dyDescent="0.25">
      <c r="A13" s="11" t="s">
        <v>179</v>
      </c>
      <c r="B13" s="98">
        <v>0</v>
      </c>
      <c r="C13" s="98">
        <v>0.95</v>
      </c>
      <c r="D13" s="56">
        <v>13.60386246040132</v>
      </c>
      <c r="E13" s="56" t="s">
        <v>201</v>
      </c>
      <c r="F13" s="98">
        <v>1</v>
      </c>
      <c r="G13" s="98">
        <v>1</v>
      </c>
    </row>
    <row r="14" spans="1:7" ht="15.75" customHeight="1" x14ac:dyDescent="0.25">
      <c r="A14" s="5" t="s">
        <v>180</v>
      </c>
      <c r="B14" s="45">
        <v>0</v>
      </c>
      <c r="C14" s="98">
        <v>0.95</v>
      </c>
      <c r="D14" s="56">
        <v>13.60386246040132</v>
      </c>
      <c r="E14" s="56" t="s">
        <v>201</v>
      </c>
      <c r="F14" s="98">
        <v>1</v>
      </c>
      <c r="G14" s="98">
        <v>1</v>
      </c>
    </row>
    <row r="15" spans="1:7" ht="15.75" customHeight="1" x14ac:dyDescent="0.25">
      <c r="A15" s="5" t="s">
        <v>181</v>
      </c>
      <c r="B15" s="98">
        <v>0</v>
      </c>
      <c r="C15" s="98">
        <v>0.95</v>
      </c>
      <c r="D15" s="56">
        <v>13.60386246040132</v>
      </c>
      <c r="E15" s="56" t="s">
        <v>201</v>
      </c>
      <c r="F15" s="98">
        <v>1</v>
      </c>
      <c r="G15" s="98">
        <v>1</v>
      </c>
    </row>
    <row r="16" spans="1:7" ht="15.75" customHeight="1" x14ac:dyDescent="0.25">
      <c r="A16" s="5" t="s">
        <v>182</v>
      </c>
      <c r="B16" s="45">
        <v>0.41490087160257599</v>
      </c>
      <c r="C16" s="98">
        <v>0.95</v>
      </c>
      <c r="D16" s="56">
        <v>0.34310519825139207</v>
      </c>
      <c r="E16" s="56" t="s">
        <v>201</v>
      </c>
      <c r="F16" s="98">
        <v>1</v>
      </c>
      <c r="G16" s="98">
        <v>1</v>
      </c>
    </row>
    <row r="17" spans="1:7" ht="15.75" customHeight="1" x14ac:dyDescent="0.25">
      <c r="A17" s="5" t="s">
        <v>183</v>
      </c>
      <c r="B17" s="98">
        <v>0.85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" customHeight="1" x14ac:dyDescent="0.25">
      <c r="A18" s="5" t="s">
        <v>157</v>
      </c>
      <c r="B18" s="98">
        <v>0</v>
      </c>
      <c r="C18" s="98">
        <v>0.95</v>
      </c>
      <c r="D18" s="56">
        <v>3.409349542067845</v>
      </c>
      <c r="E18" s="56" t="s">
        <v>201</v>
      </c>
      <c r="F18" s="98">
        <v>1</v>
      </c>
      <c r="G18" s="98">
        <v>1</v>
      </c>
    </row>
    <row r="19" spans="1:7" ht="15.75" customHeight="1" x14ac:dyDescent="0.25">
      <c r="A19" s="5" t="s">
        <v>158</v>
      </c>
      <c r="B19" s="98">
        <v>0</v>
      </c>
      <c r="C19" s="98">
        <v>0.95</v>
      </c>
      <c r="D19" s="56">
        <v>3.409349542067845</v>
      </c>
      <c r="E19" s="56" t="s">
        <v>201</v>
      </c>
      <c r="F19" s="98">
        <v>1</v>
      </c>
      <c r="G19" s="98">
        <v>1</v>
      </c>
    </row>
    <row r="20" spans="1:7" ht="15.75" customHeight="1" x14ac:dyDescent="0.25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5">
      <c r="A21" s="5" t="s">
        <v>184</v>
      </c>
      <c r="B21" s="45">
        <v>0.35662080000000002</v>
      </c>
      <c r="C21" s="98">
        <v>0.95</v>
      </c>
      <c r="D21" s="56">
        <v>2.9700350988978812</v>
      </c>
      <c r="E21" s="56" t="s">
        <v>201</v>
      </c>
      <c r="F21" s="98">
        <v>1</v>
      </c>
      <c r="G21" s="98">
        <v>1</v>
      </c>
    </row>
    <row r="22" spans="1:7" ht="15.75" customHeight="1" x14ac:dyDescent="0.25">
      <c r="A22" s="5" t="s">
        <v>185</v>
      </c>
      <c r="B22" s="98">
        <v>0</v>
      </c>
      <c r="C22" s="98">
        <v>0.95</v>
      </c>
      <c r="D22" s="56">
        <v>23.2491944224648</v>
      </c>
      <c r="E22" s="56" t="s">
        <v>201</v>
      </c>
      <c r="F22" s="98">
        <v>1</v>
      </c>
      <c r="G22" s="98">
        <v>1</v>
      </c>
    </row>
    <row r="23" spans="1:7" ht="15.75" customHeight="1" x14ac:dyDescent="0.25">
      <c r="A23" s="5" t="s">
        <v>186</v>
      </c>
      <c r="B23" s="98">
        <v>0.01</v>
      </c>
      <c r="C23" s="98">
        <v>0.95</v>
      </c>
      <c r="D23" s="56">
        <v>4.5011360215453697</v>
      </c>
      <c r="E23" s="56" t="s">
        <v>201</v>
      </c>
      <c r="F23" s="98">
        <v>1</v>
      </c>
      <c r="G23" s="98">
        <v>1</v>
      </c>
    </row>
    <row r="24" spans="1:7" ht="15.75" customHeight="1" x14ac:dyDescent="0.25">
      <c r="A24" s="5" t="s">
        <v>187</v>
      </c>
      <c r="B24" s="45">
        <v>0.555620172266166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5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5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5">
      <c r="A27" s="5" t="s">
        <v>190</v>
      </c>
      <c r="B27" s="45">
        <v>0.24598689678782401</v>
      </c>
      <c r="C27" s="98">
        <v>0.95</v>
      </c>
      <c r="D27" s="56">
        <v>19.603625971319889</v>
      </c>
      <c r="E27" s="56" t="s">
        <v>201</v>
      </c>
      <c r="F27" s="98">
        <v>1</v>
      </c>
      <c r="G27" s="98">
        <v>1</v>
      </c>
    </row>
    <row r="28" spans="1:7" ht="15.75" customHeight="1" x14ac:dyDescent="0.25">
      <c r="A28" s="5" t="s">
        <v>191</v>
      </c>
      <c r="B28" s="45">
        <v>0.37447279999999999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5">
      <c r="A29" s="5" t="s">
        <v>192</v>
      </c>
      <c r="B29" s="45">
        <v>0</v>
      </c>
      <c r="C29" s="98">
        <v>0.95</v>
      </c>
      <c r="D29" s="56">
        <v>74.335829708896085</v>
      </c>
      <c r="E29" s="56" t="s">
        <v>201</v>
      </c>
      <c r="F29" s="98">
        <v>1</v>
      </c>
      <c r="G29" s="98">
        <v>1</v>
      </c>
    </row>
    <row r="30" spans="1:7" ht="15.75" customHeight="1" x14ac:dyDescent="0.25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5">
      <c r="A31" s="5" t="s">
        <v>161</v>
      </c>
      <c r="B31" s="45">
        <v>0</v>
      </c>
      <c r="C31" s="98">
        <v>0.95</v>
      </c>
      <c r="D31" s="56">
        <v>1.9602832307524181</v>
      </c>
      <c r="E31" s="56" t="s">
        <v>201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0.46563719999999997</v>
      </c>
      <c r="C32" s="98">
        <v>0.95</v>
      </c>
      <c r="D32" s="56">
        <v>0.69222512641099732</v>
      </c>
      <c r="E32" s="56" t="s">
        <v>201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0.59869495032297004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0.92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0.1247952</v>
      </c>
      <c r="C38" s="98">
        <v>0.95</v>
      </c>
      <c r="D38" s="56">
        <v>3.614453252824553</v>
      </c>
      <c r="E38" s="56" t="s">
        <v>201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0.1497243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liv7UsT+f3YZ02lci+Xswogwm6wvqhsa8zXUGGjox7rbN5OtC9y8kY/WhQdoKJgw2N+IJRMCOB52GXIKZxvRmQ==" saltValue="csz8dO/Hg3MEkgbLGYQP0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8" sqref="B7:B8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160</v>
      </c>
      <c r="B1" s="4" t="s">
        <v>206</v>
      </c>
      <c r="C1" s="4" t="s">
        <v>207</v>
      </c>
    </row>
    <row r="2" spans="1:3" ht="13.25" customHeight="1" x14ac:dyDescent="0.25">
      <c r="A2" s="57" t="s">
        <v>180</v>
      </c>
      <c r="B2" s="47" t="s">
        <v>190</v>
      </c>
      <c r="C2" s="47"/>
    </row>
    <row r="3" spans="1:3" ht="13.25" customHeight="1" x14ac:dyDescent="0.25">
      <c r="A3" s="57" t="s">
        <v>181</v>
      </c>
      <c r="B3" s="47" t="s">
        <v>190</v>
      </c>
      <c r="C3" s="47"/>
    </row>
    <row r="4" spans="1:3" ht="13.25" customHeight="1" x14ac:dyDescent="0.25">
      <c r="A4" s="57" t="s">
        <v>192</v>
      </c>
      <c r="B4" s="47" t="s">
        <v>185</v>
      </c>
      <c r="C4" s="47"/>
    </row>
    <row r="5" spans="1:3" ht="13.25" customHeight="1" x14ac:dyDescent="0.25">
      <c r="A5" s="57" t="s">
        <v>189</v>
      </c>
      <c r="B5" s="47" t="s">
        <v>185</v>
      </c>
      <c r="C5" s="47"/>
    </row>
    <row r="6" spans="1:3" ht="13.25" customHeight="1" x14ac:dyDescent="0.25">
      <c r="A6" s="57"/>
      <c r="B6" s="58"/>
      <c r="C6" s="58"/>
    </row>
    <row r="7" spans="1:3" ht="13.25" customHeight="1" x14ac:dyDescent="0.25">
      <c r="A7" s="57"/>
      <c r="B7" s="58"/>
      <c r="C7" s="58"/>
    </row>
    <row r="8" spans="1:3" ht="13.25" customHeight="1" x14ac:dyDescent="0.25">
      <c r="A8" s="57"/>
      <c r="B8" s="58"/>
      <c r="C8" s="58"/>
    </row>
    <row r="9" spans="1:3" ht="13.25" customHeight="1" x14ac:dyDescent="0.25">
      <c r="A9" s="57"/>
      <c r="B9" s="58"/>
      <c r="C9" s="58"/>
    </row>
    <row r="10" spans="1:3" ht="13.25" customHeight="1" x14ac:dyDescent="0.25">
      <c r="A10" s="57"/>
      <c r="B10" s="58"/>
      <c r="C10" s="58"/>
    </row>
    <row r="11" spans="1:3" ht="13.25" customHeight="1" x14ac:dyDescent="0.25">
      <c r="A11" s="59"/>
      <c r="B11" s="58"/>
      <c r="C11" s="58"/>
    </row>
    <row r="12" spans="1:3" ht="13.25" customHeight="1" x14ac:dyDescent="0.25">
      <c r="A12" s="59"/>
      <c r="B12" s="58"/>
      <c r="C12" s="58"/>
    </row>
    <row r="13" spans="1:3" ht="13.25" customHeight="1" x14ac:dyDescent="0.25">
      <c r="A13" s="59"/>
      <c r="B13" s="58"/>
      <c r="C13" s="58"/>
    </row>
    <row r="14" spans="1:3" ht="13.25" customHeight="1" x14ac:dyDescent="0.25">
      <c r="A14" s="59"/>
      <c r="B14" s="58"/>
      <c r="C14" s="58"/>
    </row>
    <row r="15" spans="1:3" ht="13.25" customHeight="1" x14ac:dyDescent="0.25">
      <c r="A15" s="59"/>
      <c r="B15" s="58"/>
      <c r="C15" s="58"/>
    </row>
    <row r="16" spans="1:3" ht="13.25" customHeight="1" x14ac:dyDescent="0.25">
      <c r="A16" s="59"/>
      <c r="B16" s="58"/>
      <c r="C16" s="58"/>
    </row>
    <row r="17" spans="1:3" ht="13.25" customHeight="1" x14ac:dyDescent="0.25">
      <c r="A17" s="59"/>
      <c r="B17" s="58"/>
      <c r="C17" s="58"/>
    </row>
    <row r="18" spans="1:3" ht="13.25" customHeight="1" x14ac:dyDescent="0.25">
      <c r="A18" s="59"/>
      <c r="B18" s="58"/>
      <c r="C18" s="58"/>
    </row>
    <row r="19" spans="1:3" ht="13.25" customHeight="1" x14ac:dyDescent="0.25">
      <c r="A19" s="57"/>
      <c r="B19" s="58"/>
      <c r="C19" s="58"/>
    </row>
    <row r="20" spans="1:3" ht="13.25" customHeight="1" x14ac:dyDescent="0.25">
      <c r="A20" s="57"/>
      <c r="B20" s="58"/>
      <c r="C20" s="58"/>
    </row>
  </sheetData>
  <sheetProtection algorithmName="SHA-512" hashValue="wz3x4agDi1yZ+a/ae7WltFx4H1Ow3u5+tWWE1MwE/Fi6FH4P0Dq93v0mEjyhPMw6LTBfWG9K8jmI5eyorGJX1Q==" saltValue="wk2AmIVaRSCcFOXDsbOqX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160</v>
      </c>
    </row>
    <row r="2" spans="1:1" ht="13.25" customHeight="1" x14ac:dyDescent="0.25">
      <c r="A2" s="33" t="s">
        <v>172</v>
      </c>
    </row>
    <row r="3" spans="1:1" ht="13.25" customHeight="1" x14ac:dyDescent="0.25">
      <c r="A3" s="33" t="s">
        <v>182</v>
      </c>
    </row>
    <row r="4" spans="1:1" ht="13.25" customHeight="1" x14ac:dyDescent="0.25">
      <c r="A4" s="33" t="s">
        <v>186</v>
      </c>
    </row>
    <row r="5" spans="1:1" ht="13.25" customHeight="1" x14ac:dyDescent="0.25">
      <c r="A5" s="33" t="s">
        <v>194</v>
      </c>
    </row>
    <row r="6" spans="1:1" ht="13.25" customHeight="1" x14ac:dyDescent="0.25">
      <c r="A6" s="33" t="s">
        <v>195</v>
      </c>
    </row>
    <row r="7" spans="1:1" ht="13.25" customHeight="1" x14ac:dyDescent="0.25">
      <c r="A7" s="33" t="s">
        <v>196</v>
      </c>
    </row>
    <row r="8" spans="1:1" ht="13.25" customHeight="1" x14ac:dyDescent="0.25">
      <c r="A8" s="33" t="s">
        <v>197</v>
      </c>
    </row>
    <row r="9" spans="1:1" ht="13.25" customHeight="1" x14ac:dyDescent="0.25">
      <c r="A9" s="33" t="s">
        <v>198</v>
      </c>
    </row>
    <row r="10" spans="1:1" ht="13.25" customHeight="1" x14ac:dyDescent="0.25">
      <c r="A10" s="33"/>
    </row>
    <row r="11" spans="1:1" ht="13.25" customHeight="1" x14ac:dyDescent="0.25">
      <c r="A11" s="33"/>
    </row>
    <row r="12" spans="1:1" ht="13.25" customHeight="1" x14ac:dyDescent="0.25">
      <c r="A12" s="33"/>
    </row>
    <row r="13" spans="1:1" ht="13.25" customHeight="1" x14ac:dyDescent="0.25">
      <c r="A13" s="33"/>
    </row>
    <row r="14" spans="1:1" ht="13.25" customHeight="1" x14ac:dyDescent="0.25">
      <c r="A14" s="33"/>
    </row>
    <row r="15" spans="1:1" ht="13.25" customHeight="1" x14ac:dyDescent="0.25">
      <c r="A15" s="33"/>
    </row>
    <row r="16" spans="1:1" ht="13.25" customHeight="1" x14ac:dyDescent="0.25">
      <c r="A16" s="33"/>
    </row>
    <row r="17" spans="1:1" ht="13.25" customHeight="1" x14ac:dyDescent="0.25">
      <c r="A17" s="33"/>
    </row>
    <row r="18" spans="1:1" ht="13.25" customHeight="1" x14ac:dyDescent="0.25">
      <c r="A18" s="33"/>
    </row>
    <row r="19" spans="1:1" ht="13.25" customHeight="1" x14ac:dyDescent="0.25">
      <c r="A19" s="33"/>
    </row>
  </sheetData>
  <sheetProtection algorithmName="SHA-512" hashValue="tOrmoopE/88WQw+0AyNMjYYL1EB/IabbwPiCFEoLUbjiyiWLNhgsgzIj06cPze6TOJQQchdz1aTQWozKfw9QWA==" saltValue="ZbgYKPWJebfvDz2nyzzfA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5">
      <c r="A2" s="3" t="s">
        <v>87</v>
      </c>
      <c r="B2" s="21">
        <f>'Données pop de l''année de ref'!C51</f>
        <v>2.2000000000000002</v>
      </c>
      <c r="C2" s="21">
        <f>'Données pop de l''année de ref'!C52</f>
        <v>2.2000000000000002</v>
      </c>
      <c r="D2" s="21">
        <f>'Données pop de l''année de ref'!C53</f>
        <v>2.2000000000000002</v>
      </c>
      <c r="E2" s="21">
        <f>'Données pop de l''année de ref'!C54</f>
        <v>2.2000000000000002</v>
      </c>
      <c r="F2" s="21">
        <f>'Données pop de l''année de ref'!C55</f>
        <v>2.2000000000000002</v>
      </c>
    </row>
    <row r="3" spans="1:6" ht="15.75" customHeight="1" x14ac:dyDescent="0.25">
      <c r="A3" s="3" t="s">
        <v>209</v>
      </c>
      <c r="B3" s="21">
        <f>frac_mam_1month * 2.6</f>
        <v>0.20010143667459479</v>
      </c>
      <c r="C3" s="21">
        <f>frac_mam_1_5months * 2.6</f>
        <v>0.20010143667459479</v>
      </c>
      <c r="D3" s="21">
        <f>frac_mam_6_11months * 2.6</f>
        <v>0.21121167540550218</v>
      </c>
      <c r="E3" s="21">
        <f>frac_mam_12_23months * 2.6</f>
        <v>0.13658372908830652</v>
      </c>
      <c r="F3" s="21">
        <f>frac_mam_24_59months * 2.6</f>
        <v>8.9024348556995286E-2</v>
      </c>
    </row>
    <row r="4" spans="1:6" ht="15.75" customHeight="1" x14ac:dyDescent="0.25">
      <c r="A4" s="3" t="s">
        <v>208</v>
      </c>
      <c r="B4" s="21">
        <f>frac_sam_1month * 2.6</f>
        <v>0.16490840166807164</v>
      </c>
      <c r="C4" s="21">
        <f>frac_sam_1_5months * 2.6</f>
        <v>0.16490840166807164</v>
      </c>
      <c r="D4" s="21">
        <f>frac_sam_6_11months * 2.6</f>
        <v>0.12208314687013613</v>
      </c>
      <c r="E4" s="21">
        <f>frac_sam_12_23months * 2.6</f>
        <v>5.5262035131454577E-2</v>
      </c>
      <c r="F4" s="21">
        <f>frac_sam_24_59months * 2.6</f>
        <v>3.3276657573878682E-2</v>
      </c>
    </row>
  </sheetData>
  <sheetProtection algorithmName="SHA-512" hashValue="PitNJ4mG1LVc6kaJMiYYQN9NUxMwQIsVzausADpNGO2+eArO9+mUvaNQIZz5p7Ptb6Fu+iWWJ+UU1BcKvbxVpw==" saltValue="tpACRkd69GWMLZywH6oe+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">
      <c r="A2" s="4" t="s">
        <v>86</v>
      </c>
      <c r="B2" s="5" t="s">
        <v>170</v>
      </c>
      <c r="C2" s="60">
        <v>0</v>
      </c>
      <c r="D2" s="60">
        <f>food_insecure</f>
        <v>3.9E-2</v>
      </c>
      <c r="E2" s="60">
        <f>food_insecure</f>
        <v>3.9E-2</v>
      </c>
      <c r="F2" s="60">
        <f>food_insecure</f>
        <v>3.9E-2</v>
      </c>
      <c r="G2" s="60">
        <f>food_insecure</f>
        <v>3.9E-2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185</v>
      </c>
      <c r="C5" s="60">
        <v>0</v>
      </c>
      <c r="D5" s="60">
        <v>0</v>
      </c>
      <c r="E5" s="60">
        <f>food_insecure</f>
        <v>3.9E-2</v>
      </c>
      <c r="F5" s="60">
        <f>food_insecure</f>
        <v>3.9E-2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191</v>
      </c>
      <c r="C7" s="60">
        <f>diarrhoea_1mo*frac_diarrhea_severe</f>
        <v>4.6999999999999993E-2</v>
      </c>
      <c r="D7" s="60">
        <f>diarrhoea_1_5mo*frac_diarrhea_severe</f>
        <v>4.6999999999999993E-2</v>
      </c>
      <c r="E7" s="60">
        <f>diarrhoea_6_11mo*frac_diarrhea_severe</f>
        <v>4.6999999999999993E-2</v>
      </c>
      <c r="F7" s="60">
        <f>diarrhoea_12_23mo*frac_diarrhea_severe</f>
        <v>4.6999999999999993E-2</v>
      </c>
      <c r="G7" s="60">
        <f>diarrhoea_24_59mo*frac_diarrhea_severe</f>
        <v>4.6999999999999993E-2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192</v>
      </c>
      <c r="C8" s="60">
        <v>0</v>
      </c>
      <c r="D8" s="60">
        <v>0</v>
      </c>
      <c r="E8" s="60">
        <f>food_insecure</f>
        <v>3.9E-2</v>
      </c>
      <c r="F8" s="60">
        <f>food_insecure</f>
        <v>3.9E-2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205</v>
      </c>
      <c r="C9" s="60">
        <v>0</v>
      </c>
      <c r="D9" s="60">
        <v>0</v>
      </c>
      <c r="E9" s="60">
        <f>food_insecure</f>
        <v>3.9E-2</v>
      </c>
      <c r="F9" s="60">
        <f>food_insecure</f>
        <v>3.9E-2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161</v>
      </c>
      <c r="C10" s="60">
        <v>0</v>
      </c>
      <c r="D10" s="60">
        <f>IF(ISBLANK(comm_deliv), frac_children_health_facility,1)</f>
        <v>0.64400000000000002</v>
      </c>
      <c r="E10" s="60">
        <f>IF(ISBLANK(comm_deliv), frac_children_health_facility,1)</f>
        <v>0.64400000000000002</v>
      </c>
      <c r="F10" s="60">
        <f>IF(ISBLANK(comm_deliv), frac_children_health_facility,1)</f>
        <v>0.64400000000000002</v>
      </c>
      <c r="G10" s="60">
        <f>IF(ISBLANK(comm_deliv), frac_children_health_facility,1)</f>
        <v>0.64400000000000002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4.6999999999999993E-2</v>
      </c>
      <c r="D12" s="60">
        <f>diarrhoea_1_5mo*frac_diarrhea_severe</f>
        <v>4.6999999999999993E-2</v>
      </c>
      <c r="E12" s="60">
        <f>diarrhoea_6_11mo*frac_diarrhea_severe</f>
        <v>4.6999999999999993E-2</v>
      </c>
      <c r="F12" s="60">
        <f>diarrhoea_12_23mo*frac_diarrhea_severe</f>
        <v>4.6999999999999993E-2</v>
      </c>
      <c r="G12" s="60">
        <f>diarrhoea_24_59mo*frac_diarrhea_severe</f>
        <v>4.6999999999999993E-2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3.9E-2</v>
      </c>
      <c r="I15" s="60">
        <f>food_insecure</f>
        <v>3.9E-2</v>
      </c>
      <c r="J15" s="60">
        <f>food_insecure</f>
        <v>3.9E-2</v>
      </c>
      <c r="K15" s="60">
        <f>food_insecure</f>
        <v>3.9E-2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0.36599999999999999</v>
      </c>
      <c r="I18" s="60">
        <f>frac_PW_health_facility</f>
        <v>0.36599999999999999</v>
      </c>
      <c r="J18" s="60">
        <f>frac_PW_health_facility</f>
        <v>0.36599999999999999</v>
      </c>
      <c r="K18" s="60">
        <f>frac_PW_health_facility</f>
        <v>0.36599999999999999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2.1600000000000001E-2</v>
      </c>
      <c r="I19" s="60">
        <f>frac_malaria_risk</f>
        <v>2.1600000000000001E-2</v>
      </c>
      <c r="J19" s="60">
        <f>frac_malaria_risk</f>
        <v>2.1600000000000001E-2</v>
      </c>
      <c r="K19" s="60">
        <f>frac_malaria_risk</f>
        <v>2.1600000000000001E-2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0.53</v>
      </c>
      <c r="M24" s="60">
        <f>famplan_unmet_need</f>
        <v>0.53</v>
      </c>
      <c r="N24" s="60">
        <f>famplan_unmet_need</f>
        <v>0.53</v>
      </c>
      <c r="O24" s="60">
        <f>famplan_unmet_need</f>
        <v>0.53</v>
      </c>
    </row>
    <row r="25" spans="1:15" ht="15.75" customHeight="1" x14ac:dyDescent="0.25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0.29823761296501133</v>
      </c>
      <c r="M25" s="60">
        <f>(1-food_insecure)*(0.49)+food_insecure*(0.7)</f>
        <v>0.49818999999999997</v>
      </c>
      <c r="N25" s="60">
        <f>(1-food_insecure)*(0.49)+food_insecure*(0.7)</f>
        <v>0.49818999999999997</v>
      </c>
      <c r="O25" s="60">
        <f>(1-food_insecure)*(0.49)+food_insecure*(0.7)</f>
        <v>0.49818999999999997</v>
      </c>
    </row>
    <row r="26" spans="1:15" ht="15.75" customHeight="1" x14ac:dyDescent="0.25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0.12781611984214772</v>
      </c>
      <c r="M26" s="60">
        <f>(1-food_insecure)*(0.21)+food_insecure*(0.3)</f>
        <v>0.21350999999999998</v>
      </c>
      <c r="N26" s="60">
        <f>(1-food_insecure)*(0.21)+food_insecure*(0.3)</f>
        <v>0.21350999999999998</v>
      </c>
      <c r="O26" s="60">
        <f>(1-food_insecure)*(0.21)+food_insecure*(0.3)</f>
        <v>0.21350999999999998</v>
      </c>
    </row>
    <row r="27" spans="1:15" ht="15.75" customHeight="1" x14ac:dyDescent="0.25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0.17258857828903185</v>
      </c>
      <c r="M27" s="60">
        <f>(1-food_insecure)*(0.3)</f>
        <v>0.2883</v>
      </c>
      <c r="N27" s="60">
        <f>(1-food_insecure)*(0.3)</f>
        <v>0.2883</v>
      </c>
      <c r="O27" s="60">
        <f>(1-food_insecure)*(0.3)</f>
        <v>0.2883</v>
      </c>
    </row>
    <row r="28" spans="1:15" ht="15.75" customHeight="1" x14ac:dyDescent="0.25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0.40135768890380896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186</v>
      </c>
      <c r="C34" s="60">
        <f t="shared" ref="C34:O34" si="3">frac_malaria_risk</f>
        <v>2.1600000000000001E-2</v>
      </c>
      <c r="D34" s="60">
        <f t="shared" si="3"/>
        <v>2.1600000000000001E-2</v>
      </c>
      <c r="E34" s="60">
        <f t="shared" si="3"/>
        <v>2.1600000000000001E-2</v>
      </c>
      <c r="F34" s="60">
        <f t="shared" si="3"/>
        <v>2.1600000000000001E-2</v>
      </c>
      <c r="G34" s="60">
        <f t="shared" si="3"/>
        <v>2.1600000000000001E-2</v>
      </c>
      <c r="H34" s="60">
        <f t="shared" si="3"/>
        <v>2.1600000000000001E-2</v>
      </c>
      <c r="I34" s="60">
        <f t="shared" si="3"/>
        <v>2.1600000000000001E-2</v>
      </c>
      <c r="J34" s="60">
        <f t="shared" si="3"/>
        <v>2.1600000000000001E-2</v>
      </c>
      <c r="K34" s="60">
        <f t="shared" si="3"/>
        <v>2.1600000000000001E-2</v>
      </c>
      <c r="L34" s="60">
        <f t="shared" si="3"/>
        <v>2.1600000000000001E-2</v>
      </c>
      <c r="M34" s="60">
        <f t="shared" si="3"/>
        <v>2.1600000000000001E-2</v>
      </c>
      <c r="N34" s="60">
        <f t="shared" si="3"/>
        <v>2.1600000000000001E-2</v>
      </c>
      <c r="O34" s="60">
        <f t="shared" si="3"/>
        <v>2.1600000000000001E-2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/jiyeaDTaraDbHcRvVPrMMSRQJARltFxYdjdbSUK643whLD3eIRGWVRY6TXl5OiGiWl3WEMjlGfas/++Vaj2pw==" saltValue="0GE/rkPPRPVuTp7zbeeF3Q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201</v>
      </c>
    </row>
    <row r="2" spans="1:1" x14ac:dyDescent="0.25">
      <c r="A2" s="8" t="s">
        <v>212</v>
      </c>
    </row>
    <row r="3" spans="1:1" x14ac:dyDescent="0.25">
      <c r="A3" s="8" t="s">
        <v>213</v>
      </c>
    </row>
    <row r="4" spans="1:1" x14ac:dyDescent="0.25">
      <c r="A4" s="8" t="s">
        <v>214</v>
      </c>
    </row>
  </sheetData>
  <sheetProtection algorithmName="SHA-512" hashValue="BZvFMenwbwW6lgjCR1pA0uqbicWztHUNbcGeDEqueurW6pH+QKqqIih/CR6ze/nUkdMeMeu5VAQfhGN1eUHaWg==" saltValue="t4py2owTANu7/aMYWrF14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4" customHeight="1" x14ac:dyDescent="0.3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cWfqBnf6jP2mgSatuU2cBHw2hLBG92AL3kciE/Fj5GVKdjuKnkoFTZQooHZZO+fQ9pQ612OCH2+K9CpVwWb6og==" saltValue="oQR9RP9GO3vIxovCLxX9c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C12" sqref="C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D3zU/TS5F9M4uu63f3xsXiOKqQjwewp3iKqiq8T5T6YDKVmV5ltZzT8Kx0U2//XcZjyE64IOzlpY0UGwojQAVA==" saltValue="M7lr/i+Qyyh99yx8i2cOVw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15" workbookViewId="0">
      <selection activeCell="E28" sqref="E28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ht="13.25" customHeight="1" x14ac:dyDescent="0.25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ht="13.25" customHeight="1" x14ac:dyDescent="0.25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ht="13.25" customHeight="1" x14ac:dyDescent="0.25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ht="13.25" customHeight="1" x14ac:dyDescent="0.25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ht="13.25" customHeight="1" x14ac:dyDescent="0.25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ht="13.25" customHeight="1" x14ac:dyDescent="0.25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ht="13.25" customHeight="1" x14ac:dyDescent="0.25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ht="13.25" customHeight="1" x14ac:dyDescent="0.25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ht="13.25" customHeight="1" x14ac:dyDescent="0.25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ht="13.25" customHeight="1" x14ac:dyDescent="0.25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ht="13.25" customHeight="1" x14ac:dyDescent="0.25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ht="13.25" customHeight="1" x14ac:dyDescent="0.25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ht="13.25" customHeight="1" x14ac:dyDescent="0.25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ht="13.25" customHeight="1" x14ac:dyDescent="0.25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ht="13.25" customHeight="1" x14ac:dyDescent="0.25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ht="13.25" customHeight="1" x14ac:dyDescent="0.25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ht="13.25" customHeight="1" x14ac:dyDescent="0.25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ht="13.25" customHeight="1" x14ac:dyDescent="0.25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ht="13.25" customHeight="1" x14ac:dyDescent="0.25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ht="13.25" customHeight="1" x14ac:dyDescent="0.25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ht="13.25" customHeight="1" x14ac:dyDescent="0.25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P9gWZzk3gc5dxtvMBS/1dD5joobu1fpzKhAL9yAZoYKLsFNls4XxBLzBbKSagNTAnuj8xoupWlVGPLx5uulR/Q==" saltValue="B+Yt36GtJKK7zHcjGQRIO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ht="13.25" customHeight="1" x14ac:dyDescent="0.25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ht="13.25" customHeight="1" x14ac:dyDescent="0.25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ht="13.25" customHeight="1" x14ac:dyDescent="0.25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ht="13.25" customHeight="1" x14ac:dyDescent="0.25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ht="13.25" customHeight="1" x14ac:dyDescent="0.25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ht="13.25" customHeight="1" x14ac:dyDescent="0.25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ht="13.25" customHeight="1" x14ac:dyDescent="0.25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ht="13.25" customHeight="1" x14ac:dyDescent="0.25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ht="13.25" customHeight="1" x14ac:dyDescent="0.25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ht="13.25" customHeight="1" x14ac:dyDescent="0.25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ht="13.25" customHeight="1" x14ac:dyDescent="0.25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ht="13.25" customHeight="1" x14ac:dyDescent="0.25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ht="13.25" customHeight="1" x14ac:dyDescent="0.25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nVoxK7wvnlivaneOaDeXTbj7OWx70fC9echEWCT1Koxfwm3VFER+D3tn7PRu8DkYaNMiVhR2UYSclRx1M+r15w==" saltValue="3H6x2fHczjJjdmFkg7nj1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5">
      <c r="A2" s="5">
        <f>start_year</f>
        <v>2021</v>
      </c>
      <c r="B2" s="49">
        <v>5414497.8104000008</v>
      </c>
      <c r="C2" s="49">
        <v>9440000</v>
      </c>
      <c r="D2" s="49">
        <v>18070000</v>
      </c>
      <c r="E2" s="49">
        <v>15274000</v>
      </c>
      <c r="F2" s="49">
        <v>10510000</v>
      </c>
      <c r="G2" s="17">
        <f t="shared" ref="G2:G11" si="0">C2+D2+E2+F2</f>
        <v>53294000</v>
      </c>
      <c r="H2" s="17">
        <f t="shared" ref="H2:H11" si="1">(B2 + stillbirth*B2/(1000-stillbirth))/(1-abortion)</f>
        <v>6347223.4124374501</v>
      </c>
      <c r="I2" s="17">
        <f t="shared" ref="I2:I11" si="2">G2-H2</f>
        <v>46946776.587562546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5398707.8656000001</v>
      </c>
      <c r="C3" s="50">
        <v>9660000</v>
      </c>
      <c r="D3" s="50">
        <v>18103000</v>
      </c>
      <c r="E3" s="50">
        <v>15685000</v>
      </c>
      <c r="F3" s="50">
        <v>10865000</v>
      </c>
      <c r="G3" s="17">
        <f t="shared" si="0"/>
        <v>54313000</v>
      </c>
      <c r="H3" s="17">
        <f t="shared" si="1"/>
        <v>6328713.4211464468</v>
      </c>
      <c r="I3" s="17">
        <f t="shared" si="2"/>
        <v>47984286.578853555</v>
      </c>
    </row>
    <row r="4" spans="1:9" ht="15.75" customHeight="1" x14ac:dyDescent="0.25">
      <c r="A4" s="5">
        <f t="shared" si="3"/>
        <v>2023</v>
      </c>
      <c r="B4" s="49">
        <v>5378321.7144000009</v>
      </c>
      <c r="C4" s="50">
        <v>9932000</v>
      </c>
      <c r="D4" s="50">
        <v>18125000</v>
      </c>
      <c r="E4" s="50">
        <v>16064000</v>
      </c>
      <c r="F4" s="50">
        <v>11244000</v>
      </c>
      <c r="G4" s="17">
        <f t="shared" si="0"/>
        <v>55365000</v>
      </c>
      <c r="H4" s="17">
        <f t="shared" si="1"/>
        <v>6304815.4603904951</v>
      </c>
      <c r="I4" s="17">
        <f t="shared" si="2"/>
        <v>49060184.539609507</v>
      </c>
    </row>
    <row r="5" spans="1:9" ht="15.75" customHeight="1" x14ac:dyDescent="0.25">
      <c r="A5" s="5">
        <f t="shared" si="3"/>
        <v>2024</v>
      </c>
      <c r="B5" s="49">
        <v>5353292.6304000011</v>
      </c>
      <c r="C5" s="50">
        <v>10217000</v>
      </c>
      <c r="D5" s="50">
        <v>18167000</v>
      </c>
      <c r="E5" s="50">
        <v>16404000</v>
      </c>
      <c r="F5" s="50">
        <v>11649000</v>
      </c>
      <c r="G5" s="17">
        <f t="shared" si="0"/>
        <v>56437000</v>
      </c>
      <c r="H5" s="17">
        <f t="shared" si="1"/>
        <v>6275474.7544710068</v>
      </c>
      <c r="I5" s="17">
        <f t="shared" si="2"/>
        <v>50161525.245528996</v>
      </c>
    </row>
    <row r="6" spans="1:9" ht="15.75" customHeight="1" x14ac:dyDescent="0.25">
      <c r="A6" s="5">
        <f t="shared" si="3"/>
        <v>2025</v>
      </c>
      <c r="B6" s="49">
        <v>5323605.568</v>
      </c>
      <c r="C6" s="50">
        <v>10489000</v>
      </c>
      <c r="D6" s="50">
        <v>18256000</v>
      </c>
      <c r="E6" s="50">
        <v>16701000</v>
      </c>
      <c r="F6" s="50">
        <v>12083000</v>
      </c>
      <c r="G6" s="17">
        <f t="shared" si="0"/>
        <v>57529000</v>
      </c>
      <c r="H6" s="17">
        <f t="shared" si="1"/>
        <v>6240673.6659656521</v>
      </c>
      <c r="I6" s="17">
        <f t="shared" si="2"/>
        <v>51288326.334034346</v>
      </c>
    </row>
    <row r="7" spans="1:9" ht="15.75" customHeight="1" x14ac:dyDescent="0.25">
      <c r="A7" s="5">
        <f t="shared" si="3"/>
        <v>2026</v>
      </c>
      <c r="B7" s="49">
        <v>5320208.7936000004</v>
      </c>
      <c r="C7" s="50">
        <v>10742000</v>
      </c>
      <c r="D7" s="50">
        <v>18396000</v>
      </c>
      <c r="E7" s="50">
        <v>16955000</v>
      </c>
      <c r="F7" s="50">
        <v>12529000</v>
      </c>
      <c r="G7" s="17">
        <f t="shared" si="0"/>
        <v>58622000</v>
      </c>
      <c r="H7" s="17">
        <f t="shared" si="1"/>
        <v>6236691.7480199039</v>
      </c>
      <c r="I7" s="17">
        <f t="shared" si="2"/>
        <v>52385308.251980096</v>
      </c>
    </row>
    <row r="8" spans="1:9" ht="15.75" customHeight="1" x14ac:dyDescent="0.25">
      <c r="A8" s="5">
        <f t="shared" si="3"/>
        <v>2027</v>
      </c>
      <c r="B8" s="49">
        <v>5313180.2696000002</v>
      </c>
      <c r="C8" s="50">
        <v>10984000</v>
      </c>
      <c r="D8" s="50">
        <v>18577000</v>
      </c>
      <c r="E8" s="50">
        <v>17171000</v>
      </c>
      <c r="F8" s="50">
        <v>13000000</v>
      </c>
      <c r="G8" s="17">
        <f t="shared" si="0"/>
        <v>59732000</v>
      </c>
      <c r="H8" s="17">
        <f t="shared" si="1"/>
        <v>6228452.4590498377</v>
      </c>
      <c r="I8" s="17">
        <f t="shared" si="2"/>
        <v>53503547.540950164</v>
      </c>
    </row>
    <row r="9" spans="1:9" ht="15.75" customHeight="1" x14ac:dyDescent="0.25">
      <c r="A9" s="5">
        <f t="shared" si="3"/>
        <v>2028</v>
      </c>
      <c r="B9" s="49">
        <v>5302655.902400001</v>
      </c>
      <c r="C9" s="50">
        <v>11208000</v>
      </c>
      <c r="D9" s="50">
        <v>18807000</v>
      </c>
      <c r="E9" s="50">
        <v>17348000</v>
      </c>
      <c r="F9" s="50">
        <v>13483000</v>
      </c>
      <c r="G9" s="17">
        <f t="shared" si="0"/>
        <v>60846000</v>
      </c>
      <c r="H9" s="17">
        <f t="shared" si="1"/>
        <v>6216115.11729958</v>
      </c>
      <c r="I9" s="17">
        <f t="shared" si="2"/>
        <v>54629884.882700421</v>
      </c>
    </row>
    <row r="10" spans="1:9" ht="15.75" customHeight="1" x14ac:dyDescent="0.25">
      <c r="A10" s="5">
        <f t="shared" si="3"/>
        <v>2029</v>
      </c>
      <c r="B10" s="49">
        <v>5288831.4312000005</v>
      </c>
      <c r="C10" s="50">
        <v>11404000</v>
      </c>
      <c r="D10" s="50">
        <v>19093000</v>
      </c>
      <c r="E10" s="50">
        <v>17487000</v>
      </c>
      <c r="F10" s="50">
        <v>13959000</v>
      </c>
      <c r="G10" s="17">
        <f t="shared" si="0"/>
        <v>61943000</v>
      </c>
      <c r="H10" s="17">
        <f t="shared" si="1"/>
        <v>6199909.1808789084</v>
      </c>
      <c r="I10" s="17">
        <f t="shared" si="2"/>
        <v>55743090.819121093</v>
      </c>
    </row>
    <row r="11" spans="1:9" ht="15.75" customHeight="1" x14ac:dyDescent="0.25">
      <c r="A11" s="5">
        <f t="shared" si="3"/>
        <v>2030</v>
      </c>
      <c r="B11" s="49">
        <v>5271848.8320000004</v>
      </c>
      <c r="C11" s="50">
        <v>11567000</v>
      </c>
      <c r="D11" s="50">
        <v>19438000</v>
      </c>
      <c r="E11" s="50">
        <v>17587000</v>
      </c>
      <c r="F11" s="50">
        <v>14415000</v>
      </c>
      <c r="G11" s="17">
        <f t="shared" si="0"/>
        <v>63007000</v>
      </c>
      <c r="H11" s="17">
        <f t="shared" si="1"/>
        <v>6180001.0832083831</v>
      </c>
      <c r="I11" s="17">
        <f t="shared" si="2"/>
        <v>56826998.916791618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56tmAYtcLGkiDjAHg76hdb1HXdxYyujev64Kdr7ZtFCJHXoW5cMw3hwPA1Pg9BYyzI/THmWA83AdFG9kQ5hdOw==" saltValue="ikK0x1goQyeIIrga7k1Scg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13" zoomScale="85" zoomScaleNormal="85" workbookViewId="0">
      <selection activeCell="E28" sqref="E28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ht="13" customHeight="1" x14ac:dyDescent="0.3">
      <c r="A2" s="4" t="s">
        <v>232</v>
      </c>
      <c r="B2" s="103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ht="13.25" customHeight="1" x14ac:dyDescent="0.25">
      <c r="B3" s="104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ht="13.25" customHeight="1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ht="13.25" customHeight="1" x14ac:dyDescent="0.25">
      <c r="B5" s="103" t="s">
        <v>109</v>
      </c>
      <c r="C5" s="8" t="s">
        <v>153</v>
      </c>
      <c r="D5" s="88">
        <f>IFERROR((MIN(1,1.56*'Dist. l''allaitement maternel'!$C$2)/(1-MIN(1,1.56*'Dist. l''allaitement maternel'!$C$2))) /
('Dist. l''allaitement maternel'!$C$2/(1-'Dist. l''allaitement maternel'!$C$2)), 1.56)</f>
        <v>5.3948816093698895</v>
      </c>
      <c r="E5" s="88">
        <v>1</v>
      </c>
      <c r="F5" s="88">
        <v>1</v>
      </c>
      <c r="G5" s="88">
        <v>1</v>
      </c>
      <c r="H5" s="88">
        <v>1</v>
      </c>
    </row>
    <row r="6" spans="1:10" ht="13.25" customHeight="1" x14ac:dyDescent="0.25">
      <c r="B6" s="104"/>
      <c r="C6" s="8" t="s">
        <v>154</v>
      </c>
      <c r="D6" s="88">
        <f>IFERROR((MIN(1,1.56*'Dist. l''allaitement maternel'!$C$2)/(1-MIN(1,1.56*'Dist. l''allaitement maternel'!$C$2))) /
('Dist. l''allaitement maternel'!$C$2/(1-'Dist. l''allaitement maternel'!$C$2)), 1.56)</f>
        <v>5.3948816093698895</v>
      </c>
      <c r="E6" s="88">
        <v>1</v>
      </c>
      <c r="F6" s="88">
        <v>1</v>
      </c>
      <c r="G6" s="88">
        <v>1</v>
      </c>
      <c r="H6" s="88">
        <v>1</v>
      </c>
    </row>
    <row r="7" spans="1:10" ht="13.25" customHeight="1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ht="13.25" customHeight="1" x14ac:dyDescent="0.25">
      <c r="B8" s="103" t="s">
        <v>96</v>
      </c>
      <c r="C8" s="8" t="s">
        <v>153</v>
      </c>
      <c r="D8" s="88">
        <v>1</v>
      </c>
      <c r="E8" s="88">
        <f>IFERROR((MIN(1,1.56*'Dist. l''allaitement maternel'!$D$2)/(1-MIN(1,1.56*'Dist. l''allaitement maternel'!$D$2))) /
('Dist. l''allaitement maternel'!$D$2/(1-'Dist. l''allaitement maternel'!$D$2)), 1.56)</f>
        <v>3.0467389804889047</v>
      </c>
      <c r="F8" s="88">
        <v>1</v>
      </c>
      <c r="G8" s="88">
        <v>1</v>
      </c>
      <c r="H8" s="88">
        <v>1</v>
      </c>
    </row>
    <row r="9" spans="1:10" ht="13.25" customHeight="1" x14ac:dyDescent="0.25">
      <c r="B9" s="104"/>
      <c r="C9" s="8" t="s">
        <v>154</v>
      </c>
      <c r="D9" s="88">
        <v>1</v>
      </c>
      <c r="E9" s="88">
        <f>IFERROR((MIN(1,1.56*'Dist. l''allaitement maternel'!$D$2)/(1-MIN(1,1.56*'Dist. l''allaitement maternel'!$D$2))) /
('Dist. l''allaitement maternel'!$D$2/(1-'Dist. l''allaitement maternel'!$D$2)), 1.56)</f>
        <v>3.0467389804889047</v>
      </c>
      <c r="F9" s="88">
        <v>1</v>
      </c>
      <c r="G9" s="88">
        <v>1</v>
      </c>
      <c r="H9" s="88">
        <v>1</v>
      </c>
    </row>
    <row r="10" spans="1:10" ht="13.25" customHeight="1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ht="13.25" customHeight="1" x14ac:dyDescent="0.25">
      <c r="B11" s="103" t="s">
        <v>97</v>
      </c>
      <c r="C11" s="8" t="s">
        <v>153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ht="13.25" customHeight="1" x14ac:dyDescent="0.25">
      <c r="B12" s="104"/>
      <c r="C12" s="8" t="s">
        <v>154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ht="13.25" customHeight="1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ht="13.25" customHeight="1" x14ac:dyDescent="0.25">
      <c r="B14" s="103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ht="13.25" customHeight="1" x14ac:dyDescent="0.25">
      <c r="B15" s="104"/>
      <c r="C15" s="8" t="s">
        <v>154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ht="13.25" customHeight="1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ht="13.25" customHeight="1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100</v>
      </c>
      <c r="C19" s="8" t="s">
        <v>153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ht="13.25" customHeight="1" x14ac:dyDescent="0.25">
      <c r="B20" s="104"/>
      <c r="C20" s="8" t="s">
        <v>154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ht="13.25" customHeight="1" x14ac:dyDescent="0.25">
      <c r="B21" s="104"/>
      <c r="C21" s="8" t="s">
        <v>155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ht="13.25" customHeight="1" x14ac:dyDescent="0.25">
      <c r="B22" s="103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ht="13.25" customHeight="1" x14ac:dyDescent="0.25">
      <c r="B23" s="104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ht="13.25" customHeight="1" x14ac:dyDescent="0.25">
      <c r="B24" s="104"/>
      <c r="C24" s="8" t="s">
        <v>155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ht="13.25" customHeight="1" x14ac:dyDescent="0.25">
      <c r="B25" s="103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ht="13.25" customHeight="1" x14ac:dyDescent="0.25">
      <c r="B26" s="104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97</v>
      </c>
      <c r="C28" s="8" t="s">
        <v>153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154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154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156</v>
      </c>
      <c r="C34" s="8" t="s">
        <v>155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97</v>
      </c>
      <c r="C45" s="8" t="s">
        <v>153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154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154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156</v>
      </c>
      <c r="C51" s="8" t="s">
        <v>155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ht="13" customHeight="1" x14ac:dyDescent="0.3">
      <c r="A55" s="4" t="s">
        <v>236</v>
      </c>
      <c r="B55" s="103" t="s">
        <v>100</v>
      </c>
      <c r="C55" s="8" t="s">
        <v>153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154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109</v>
      </c>
      <c r="C58" s="8" t="s">
        <v>153</v>
      </c>
      <c r="D58" s="88">
        <f>IFERROR((MIN(1,1.37*'Dist. l''allaitement maternel'!$C$2)/(1-MIN(1,1.37*'Dist. l''allaitement maternel'!$C$2))) /
('Dist. l''allaitement maternel'!$C$2/(1-'Dist. l''allaitement maternel'!$C$2)), 1.37)</f>
        <v>2.5832493548991495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154</v>
      </c>
      <c r="D59" s="88">
        <f>IFERROR((MIN(1,1.37*'Dist. l''allaitement maternel'!$C$2)/(1-MIN(1,1.37*'Dist. l''allaitement maternel'!$C$2))) /
('Dist. l''allaitement maternel'!$C$2/(1-'Dist. l''allaitement maternel'!$C$2)), 1.37)</f>
        <v>2.5832493548991495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96</v>
      </c>
      <c r="C61" s="8" t="s">
        <v>153</v>
      </c>
      <c r="D61" s="88">
        <f t="shared" si="2"/>
        <v>1</v>
      </c>
      <c r="E61" s="88">
        <f>IFERROR((MIN(1,1.37*'Dist. l''allaitement maternel'!$D$2)/(1-MIN(1,1.37*'Dist. l''allaitement maternel'!$D$2))) /
('Dist. l''allaitement maternel'!$D$2/(1-'Dist. l''allaitement maternel'!$D$2)), 1.37)</f>
        <v>2.0218819842526554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154</v>
      </c>
      <c r="D62" s="88">
        <f t="shared" si="2"/>
        <v>1</v>
      </c>
      <c r="E62" s="88">
        <f>IFERROR((MIN(1,1.37*'Dist. l''allaitement maternel'!$D$2)/(1-MIN(1,1.37*'Dist. l''allaitement maternel'!$D$2))) /
('Dist. l''allaitement maternel'!$D$2/(1-'Dist. l''allaitement maternel'!$D$2)), 1.37)</f>
        <v>2.0218819842526554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97</v>
      </c>
      <c r="C64" s="8" t="s">
        <v>153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154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98</v>
      </c>
      <c r="C67" s="8" t="s">
        <v>153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154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156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100</v>
      </c>
      <c r="C72" s="8" t="s">
        <v>153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154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109</v>
      </c>
      <c r="C75" s="8" t="s">
        <v>153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154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96</v>
      </c>
      <c r="C78" s="8" t="s">
        <v>153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154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97</v>
      </c>
      <c r="C81" s="8" t="s">
        <v>153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154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98</v>
      </c>
      <c r="C84" s="8" t="s">
        <v>153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154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156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100</v>
      </c>
      <c r="C89" s="8" t="s">
        <v>153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154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109</v>
      </c>
      <c r="C92" s="8" t="s">
        <v>153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154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96</v>
      </c>
      <c r="C95" s="8" t="s">
        <v>153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154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97</v>
      </c>
      <c r="C98" s="8" t="s">
        <v>153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154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98</v>
      </c>
      <c r="C101" s="8" t="s">
        <v>153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154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156</v>
      </c>
      <c r="C104" s="8" t="s">
        <v>155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ht="13" customHeight="1" x14ac:dyDescent="0.3">
      <c r="A108" s="4" t="s">
        <v>240</v>
      </c>
      <c r="B108" s="103" t="s">
        <v>100</v>
      </c>
      <c r="C108" s="8" t="s">
        <v>153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154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109</v>
      </c>
      <c r="C111" s="8" t="s">
        <v>153</v>
      </c>
      <c r="D111" s="88">
        <f>IFERROR((MIN(1,1.77*'Dist. l''allaitement maternel'!$C$2)/(1-MIN(1,1.77*'Dist. l''allaitement maternel'!$C$2))) /
('Dist. l''allaitement maternel'!$C$2/(1-'Dist. l''allaitement maternel'!$C$2)), 1.77)</f>
        <v>78.321749645950675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154</v>
      </c>
      <c r="D112" s="88">
        <f>IFERROR((MIN(1,1.77*'Dist. l''allaitement maternel'!$C$2)/(1-MIN(1,1.77*'Dist. l''allaitement maternel'!$C$2))) /
('Dist. l''allaitement maternel'!$C$2/(1-'Dist. l''allaitement maternel'!$C$2)), 1.77)</f>
        <v>78.321749645950675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96</v>
      </c>
      <c r="C114" s="8" t="s">
        <v>153</v>
      </c>
      <c r="D114" s="88">
        <f t="shared" si="12"/>
        <v>1</v>
      </c>
      <c r="E114" s="88">
        <f>IFERROR((MIN(1,1.77*'Dist. l''allaitement maternel'!$D$2)/(1-MIN(1,1.77*'Dist. l''allaitement maternel'!$D$2))) /
('Dist. l''allaitement maternel'!$D$2/(1-'Dist. l''allaitement maternel'!$D$2)), 1.77)</f>
        <v>5.3794253097431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154</v>
      </c>
      <c r="D115" s="88">
        <f t="shared" si="12"/>
        <v>1</v>
      </c>
      <c r="E115" s="88">
        <f>IFERROR((MIN(1,1.77*'Dist. l''allaitement maternel'!$D$2)/(1-MIN(1,1.77*'Dist. l''allaitement maternel'!$D$2))) /
('Dist. l''allaitement maternel'!$D$2/(1-'Dist. l''allaitement maternel'!$D$2)), 1.77)</f>
        <v>5.3794253097431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97</v>
      </c>
      <c r="C117" s="8" t="s">
        <v>153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154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98</v>
      </c>
      <c r="C120" s="8" t="s">
        <v>153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154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156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100</v>
      </c>
      <c r="C125" s="8" t="s">
        <v>153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154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109</v>
      </c>
      <c r="C128" s="8" t="s">
        <v>153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154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96</v>
      </c>
      <c r="C131" s="8" t="s">
        <v>153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154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97</v>
      </c>
      <c r="C134" s="8" t="s">
        <v>153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154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98</v>
      </c>
      <c r="C137" s="8" t="s">
        <v>153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154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156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100</v>
      </c>
      <c r="C142" s="8" t="s">
        <v>153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154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109</v>
      </c>
      <c r="C145" s="8" t="s">
        <v>153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154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96</v>
      </c>
      <c r="C148" s="8" t="s">
        <v>153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154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97</v>
      </c>
      <c r="C151" s="8" t="s">
        <v>153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154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98</v>
      </c>
      <c r="C154" s="8" t="s">
        <v>153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154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156</v>
      </c>
      <c r="C157" s="8" t="s">
        <v>155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7tzEFa/C1gZJn6azPjkXBTxau7UcCtQCDozuSD9+e+YvEq8LlEPTWxDsoF2kLok0K7/hh6cZ6L/XsSk8SN51wg==" saltValue="tFNIV+1zYFNtTUX1hkaFGg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31" sqref="C31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245</v>
      </c>
      <c r="C11" s="74"/>
      <c r="D11" s="75"/>
      <c r="E11" s="75"/>
      <c r="F11" s="75"/>
    </row>
    <row r="12" spans="1:6" ht="15.75" customHeight="1" x14ac:dyDescent="0.3">
      <c r="A12" s="4" t="s">
        <v>246</v>
      </c>
      <c r="C12" s="73"/>
      <c r="D12" s="64"/>
      <c r="E12" s="64"/>
      <c r="F12" s="64"/>
    </row>
    <row r="13" spans="1:6" ht="15.75" customHeight="1" x14ac:dyDescent="0.25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5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79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80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81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37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38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39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40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262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3">
      <c r="A39" s="4" t="s">
        <v>251</v>
      </c>
      <c r="C39" s="73"/>
      <c r="D39" s="64"/>
      <c r="E39" s="64"/>
      <c r="F39" s="64"/>
    </row>
    <row r="40" spans="1:6" ht="15.75" customHeight="1" x14ac:dyDescent="0.25">
      <c r="B40" s="11" t="s">
        <v>256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257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258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5">
      <c r="B45" s="5" t="s">
        <v>78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79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80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81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82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83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84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85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3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5">
      <c r="B58" s="5" t="s">
        <v>37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38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39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40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263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3">
      <c r="A66" s="4" t="s">
        <v>254</v>
      </c>
      <c r="C66" s="73"/>
      <c r="D66" s="64"/>
      <c r="E66" s="64"/>
      <c r="F66" s="64"/>
    </row>
    <row r="67" spans="1:6" ht="15.75" customHeight="1" x14ac:dyDescent="0.25">
      <c r="B67" s="11" t="s">
        <v>259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260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261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5">
      <c r="B72" s="5" t="s">
        <v>78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79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80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81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82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83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84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85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9nFr1v8lckV+h7ix7uRwaOoOm3T5soW+rWwuh+joyA9d+7l/QdK3i6ft08nK23Xt0G3hBKPEYSDz8ldMhNKJTQ==" saltValue="Pm8MEjS/jkDdaEzTYUwZV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D30" sqref="D30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278</v>
      </c>
    </row>
    <row r="29" spans="1:16" ht="13" customHeight="1" x14ac:dyDescent="0.3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271</v>
      </c>
    </row>
    <row r="56" spans="1:16" ht="26" customHeight="1" x14ac:dyDescent="0.3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275</v>
      </c>
    </row>
    <row r="65" spans="1:16" ht="26" customHeight="1" x14ac:dyDescent="0.3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78</v>
      </c>
      <c r="C66" s="3" t="s">
        <v>129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79</v>
      </c>
      <c r="C70" s="3" t="s">
        <v>129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80</v>
      </c>
      <c r="C74" s="3" t="s">
        <v>129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277</v>
      </c>
    </row>
    <row r="104" spans="1:16" ht="26" customHeight="1" x14ac:dyDescent="0.3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ht="13" customHeight="1" x14ac:dyDescent="0.3">
      <c r="A113" s="4"/>
      <c r="B113" s="8" t="s">
        <v>87</v>
      </c>
      <c r="C113" s="3" t="s">
        <v>10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267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268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269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88</v>
      </c>
      <c r="C117" s="3" t="s">
        <v>10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267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268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269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10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267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268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269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91</v>
      </c>
      <c r="C125" s="3" t="s">
        <v>10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267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268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269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89</v>
      </c>
      <c r="C129" s="3" t="s">
        <v>10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267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268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269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95</v>
      </c>
      <c r="C133" s="3" t="s">
        <v>10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267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268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269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ht="13" customHeight="1" x14ac:dyDescent="0.3">
      <c r="A140" s="4"/>
      <c r="B140" s="8" t="s">
        <v>87</v>
      </c>
      <c r="C140" s="3" t="s">
        <v>10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267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209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208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88</v>
      </c>
      <c r="C144" s="3" t="s">
        <v>10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267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209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208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10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267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209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208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91</v>
      </c>
      <c r="C152" s="3" t="s">
        <v>10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267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209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208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89</v>
      </c>
      <c r="C156" s="3" t="s">
        <v>10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267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209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208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95</v>
      </c>
      <c r="C160" s="3" t="s">
        <v>10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267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209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208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ht="13" customHeight="1" x14ac:dyDescent="0.3">
      <c r="A167" s="4"/>
      <c r="B167" s="8" t="s">
        <v>101</v>
      </c>
      <c r="C167" s="3" t="s">
        <v>273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274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102</v>
      </c>
      <c r="C169" s="3" t="s">
        <v>273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274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273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274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ht="13" customHeight="1" x14ac:dyDescent="0.3">
      <c r="A176" s="82"/>
      <c r="B176" s="8" t="s">
        <v>78</v>
      </c>
      <c r="C176" s="3" t="s">
        <v>129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130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131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132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79</v>
      </c>
      <c r="C180" s="3" t="s">
        <v>129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130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131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132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80</v>
      </c>
      <c r="C184" s="3" t="s">
        <v>129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130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131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132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82</v>
      </c>
      <c r="C188" s="3" t="s">
        <v>129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130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131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132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87</v>
      </c>
      <c r="C192" s="3" t="s">
        <v>129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130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131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132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88</v>
      </c>
      <c r="C196" s="3" t="s">
        <v>129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130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131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132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130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131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132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89</v>
      </c>
      <c r="C204" s="3" t="s">
        <v>129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130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131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132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92</v>
      </c>
      <c r="C208" s="3" t="s">
        <v>129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130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131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132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ht="13" customHeight="1" x14ac:dyDescent="0.3">
      <c r="A215" s="4"/>
      <c r="C215" s="3" t="s">
        <v>129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130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131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132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ht="13" customHeight="1" x14ac:dyDescent="0.3">
      <c r="A223" s="4"/>
      <c r="B223" s="8" t="s">
        <v>87</v>
      </c>
      <c r="C223" s="3" t="s">
        <v>10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267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268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269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88</v>
      </c>
      <c r="C227" s="3" t="s">
        <v>10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267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268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269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10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267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268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269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91</v>
      </c>
      <c r="C235" s="3" t="s">
        <v>10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267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268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269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89</v>
      </c>
      <c r="C239" s="3" t="s">
        <v>10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267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268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269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95</v>
      </c>
      <c r="C243" s="3" t="s">
        <v>10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267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268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269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ht="13" customHeight="1" x14ac:dyDescent="0.3">
      <c r="A250" s="4"/>
      <c r="B250" s="8" t="s">
        <v>87</v>
      </c>
      <c r="C250" s="3" t="s">
        <v>10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267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209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208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88</v>
      </c>
      <c r="C254" s="3" t="s">
        <v>10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267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209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208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10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267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209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208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91</v>
      </c>
      <c r="C262" s="3" t="s">
        <v>10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267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209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208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89</v>
      </c>
      <c r="C266" s="3" t="s">
        <v>10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267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209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208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95</v>
      </c>
      <c r="C270" s="3" t="s">
        <v>10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267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209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208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ht="13" customHeight="1" x14ac:dyDescent="0.3">
      <c r="A277" s="4"/>
      <c r="B277" s="8" t="s">
        <v>101</v>
      </c>
      <c r="C277" s="3" t="s">
        <v>273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274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102</v>
      </c>
      <c r="C279" s="3" t="s">
        <v>273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274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273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274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ht="13" customHeight="1" x14ac:dyDescent="0.3">
      <c r="A286" s="82"/>
      <c r="B286" s="8" t="s">
        <v>78</v>
      </c>
      <c r="C286" s="3" t="s">
        <v>129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130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131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132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79</v>
      </c>
      <c r="C290" s="3" t="s">
        <v>129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130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131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132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80</v>
      </c>
      <c r="C294" s="3" t="s">
        <v>129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130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131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132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82</v>
      </c>
      <c r="C298" s="3" t="s">
        <v>129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130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131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132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87</v>
      </c>
      <c r="C302" s="3" t="s">
        <v>129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130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131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132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88</v>
      </c>
      <c r="C306" s="3" t="s">
        <v>129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130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131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132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130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131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132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89</v>
      </c>
      <c r="C314" s="3" t="s">
        <v>129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130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131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132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92</v>
      </c>
      <c r="C318" s="3" t="s">
        <v>129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130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131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132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ht="13" customHeight="1" x14ac:dyDescent="0.3">
      <c r="A325" s="4"/>
      <c r="C325" s="3" t="s">
        <v>129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130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131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132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pOR9NUkf/E5/UvvEOBRhqOB8d+LQB0zrpAc8r0j2nL4m08DRrxYd+rtt2UcFH+pbkkvpD/U9wKfME9p/5WBu6w==" saltValue="Y8RFDyAl5rtamwAltLaP4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C29" sqref="C29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233</v>
      </c>
    </row>
    <row r="2" spans="1:7" ht="14.25" customHeight="1" x14ac:dyDescent="0.3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5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282</v>
      </c>
    </row>
    <row r="6" spans="1:7" ht="14.25" customHeight="1" x14ac:dyDescent="0.25">
      <c r="B6" s="5" t="s">
        <v>192</v>
      </c>
      <c r="C6" s="90">
        <v>1</v>
      </c>
      <c r="D6" s="90">
        <v>1</v>
      </c>
      <c r="E6" s="90">
        <f>IF(ISBLANK('Dist. de l''état nutritionnel'!$E$4),0.64, (0.64*SUM('Dist. de l''état nutritionnel'!$E$4:$E$5)/(1-0.64*SUM('Dist. de l''état nutritionnel'!$E$4:$E$5)))
/ (SUM('Dist. de l''état nutritionnel'!$E$4:$E$5)/(1-SUM('Dist. de l''état nutritionnel'!$E$4:$E$5))))</f>
        <v>0.58745080370525737</v>
      </c>
      <c r="F6" s="90">
        <f>IF(ISBLANK('Dist. de l''état nutritionnel'!$F$4),0.64, (0.64*SUM('Dist. de l''état nutritionnel'!$F$4:$F$5)/(1-0.64*SUM('Dist. de l''état nutritionnel'!$F$4:$F$5)))/ (SUM('Dist. de l''état nutritionnel'!$F$4:$F$5)/(1-SUM('Dist. de l''état nutritionnel'!$F$4:$F$5))))</f>
        <v>0.54415703626411982</v>
      </c>
      <c r="G6" s="90">
        <v>1</v>
      </c>
    </row>
    <row r="7" spans="1:7" ht="14.25" customHeight="1" x14ac:dyDescent="0.25">
      <c r="B7" s="5" t="s">
        <v>185</v>
      </c>
      <c r="C7" s="90">
        <v>1</v>
      </c>
      <c r="D7" s="90">
        <v>1</v>
      </c>
      <c r="E7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0.85452022051743448</v>
      </c>
      <c r="F7" s="90">
        <f>IF(ISBLANK('Dist. de l''état nutritionnel'!$F$4),0.88, (0.88*SUM('Dist. de l''état nutritionnel'!$F$4:$F$5)/(1-0.88*SUM('Dist. de l''état nutritionnel'!$F$4:$F$5)))/ (SUM('Dist. de l''état nutritionnel'!$F$4:$F$5)/(1-SUM('Dist. de l''état nutritionnel'!$F$4:$F$5))))</f>
        <v>0.83119995293205218</v>
      </c>
      <c r="G7" s="90">
        <v>1</v>
      </c>
    </row>
    <row r="8" spans="1:7" ht="14.25" customHeight="1" x14ac:dyDescent="0.25">
      <c r="B8" s="5" t="s">
        <v>205</v>
      </c>
      <c r="C8" s="90">
        <v>1</v>
      </c>
      <c r="D8" s="90">
        <v>1</v>
      </c>
      <c r="E8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0.85452022051743448</v>
      </c>
      <c r="F8" s="90">
        <f>IF(ISBLANK('Dist. de l''état nutritionnel'!$F$4),0.88, (0.88*SUM('Dist. de l''état nutritionnel'!$F$4:$F$5)/(1-0.88*SUM('Dist. de l''état nutritionnel'!$F$4:$F$5)))/ (SUM('Dist. de l''état nutritionnel'!$F$4:$F$5)/(1-SUM('Dist. de l''état nutritionnel'!$F$4:$F$5))))</f>
        <v>0.83119995293205218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283</v>
      </c>
    </row>
    <row r="15" spans="1:7" ht="14.25" customHeight="1" x14ac:dyDescent="0.3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288</v>
      </c>
    </row>
    <row r="20" spans="1:7" s="14" customFormat="1" ht="14.25" customHeight="1" x14ac:dyDescent="0.3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5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233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5">
      <c r="B26" s="11" t="s">
        <v>289</v>
      </c>
      <c r="C26" s="90" t="s">
        <v>11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290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291</v>
      </c>
    </row>
    <row r="29" spans="1:7" x14ac:dyDescent="0.25">
      <c r="B29" s="5" t="s">
        <v>292</v>
      </c>
      <c r="C29" s="90">
        <f t="shared" ref="C29:D32" si="0">IF(C6=1,1,C6*0.9)</f>
        <v>1</v>
      </c>
      <c r="D29" s="90">
        <f t="shared" si="0"/>
        <v>1</v>
      </c>
      <c r="E29" s="90">
        <f>IF(ISBLANK('Dist. de l''état nutritionnel'!E$4),0.44, (0.44*SUM('Dist. de l''état nutritionnel'!E$4:E$5)/(1-0.44*SUM('Dist. de l''état nutritionnel'!E$4:E$5)))/ (SUM('Dist. de l''état nutritionnel'!E$4:E$5)/(1-SUM('Dist. de l''état nutritionnel'!E$4:E$5))))</f>
        <v>0.38625324558410024</v>
      </c>
      <c r="F29" s="90">
        <f>IF(ISBLANK('Dist. de l''état nutritionnel'!F$4),0.44, (0.44*SUM('Dist. de l''état nutritionnel'!F$4:F$5)/(1-0.44*SUM('Dist. de l''état nutritionnel'!F$4:F$5)))/ (SUM('Dist. de l''état nutritionnel'!F$4:F$5)/(1-SUM('Dist. de l''état nutritionnel'!F$4:F$5))))</f>
        <v>0.34537388537329033</v>
      </c>
      <c r="G29" s="90">
        <f>IF(G6=1,1,G6*0.9)</f>
        <v>1</v>
      </c>
    </row>
    <row r="30" spans="1:7" x14ac:dyDescent="0.25">
      <c r="B30" s="5" t="s">
        <v>293</v>
      </c>
      <c r="C30" s="90">
        <f t="shared" si="0"/>
        <v>1</v>
      </c>
      <c r="D30" s="90">
        <f t="shared" si="0"/>
        <v>1</v>
      </c>
      <c r="E30" s="90">
        <f>IF(ISBLANK('Dist. de l''état nutritionnel'!E$4),0.85, (0.85*SUM('Dist. de l''état nutritionnel'!E$4:E$5)/(1-0.85*SUM('Dist. de l''état nutritionnel'!E$4:E$5)))/ (SUM('Dist. de l''état nutritionnel'!E$4:E$5)/(1-SUM('Dist. de l''état nutritionnel'!E$4:E$5))))</f>
        <v>0.8194571483872044</v>
      </c>
      <c r="F30" s="90">
        <f>IF(ISBLANK('Dist. de l''état nutritionnel'!F$4),0.85, (0.85*SUM('Dist. de l''état nutritionnel'!F$4:F$5)/(1-0.85*SUM('Dist. de l''état nutritionnel'!F$4:F$5)))/ (SUM('Dist. de l''état nutritionnel'!F$4:F$5)/(1-SUM('Dist. de l''état nutritionnel'!F$4:F$5))))</f>
        <v>0.79188517224180888</v>
      </c>
      <c r="G30" s="90">
        <f>IF(G7=1,1,G7*0.9)</f>
        <v>1</v>
      </c>
    </row>
    <row r="31" spans="1:7" x14ac:dyDescent="0.25">
      <c r="B31" s="5" t="s">
        <v>315</v>
      </c>
      <c r="C31" s="90">
        <f t="shared" si="0"/>
        <v>1</v>
      </c>
      <c r="D31" s="90">
        <f t="shared" si="0"/>
        <v>1</v>
      </c>
      <c r="E31" s="90">
        <f>IF(ISBLANK('Dist. de l''état nutritionnel'!E$4),0.85, (0.85*SUM('Dist. de l''état nutritionnel'!E$4:E$5)/(1-0.85*SUM('Dist. de l''état nutritionnel'!E$4:E$5)))/ (SUM('Dist. de l''état nutritionnel'!E$4:E$5)/(1-SUM('Dist. de l''état nutritionnel'!E$4:E$5))))</f>
        <v>0.8194571483872044</v>
      </c>
      <c r="F31" s="90">
        <f>IF(ISBLANK('Dist. de l''état nutritionnel'!F$4),0.85, (0.85*SUM('Dist. de l''état nutritionnel'!F$4:F$5)/(1-0.85*SUM('Dist. de l''état nutritionnel'!F$4:F$5)))/ (SUM('Dist. de l''état nutritionnel'!F$4:F$5)/(1-SUM('Dist. de l''état nutritionnel'!F$4:F$5))))</f>
        <v>0.79188517224180888</v>
      </c>
      <c r="G31" s="90">
        <f>IF(G8=1,1,G8*0.9)</f>
        <v>1</v>
      </c>
    </row>
    <row r="32" spans="1:7" x14ac:dyDescent="0.25">
      <c r="B32" s="5" t="s">
        <v>294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295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283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279</v>
      </c>
      <c r="B38" s="5" t="s">
        <v>297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298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121</v>
      </c>
      <c r="B40" s="11" t="s">
        <v>299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300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5">
      <c r="B44" s="11" t="s">
        <v>301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233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5">
      <c r="B49" s="11" t="s">
        <v>302</v>
      </c>
      <c r="C49" s="90" t="s">
        <v>11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303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304</v>
      </c>
    </row>
    <row r="52" spans="1:7" x14ac:dyDescent="0.25">
      <c r="B52" s="5" t="s">
        <v>305</v>
      </c>
      <c r="C52" s="90">
        <f t="shared" ref="C52:D55" si="3">IF(C6=1,1,C6*1.1)</f>
        <v>1</v>
      </c>
      <c r="D52" s="90">
        <f t="shared" si="3"/>
        <v>1</v>
      </c>
      <c r="E52" s="90">
        <f>IF(ISBLANK('Dist. de l''état nutritionnel'!E$4),0.92, (0.92*SUM('Dist. de l''état nutritionnel'!E$4:E$5)/(1-0.92*SUM('Dist. de l''état nutritionnel'!E$4:E$5)))/ (SUM('Dist. de l''état nutritionnel'!E$4:E$5)/(1-SUM('Dist. de l''état nutritionnel'!E$4:E$5))))</f>
        <v>0.90206829923134368</v>
      </c>
      <c r="F52" s="90">
        <f>IF(ISBLANK('Dist. de l''état nutritionnel'!F$4),0.92, (0.92*SUM('Dist. de l''état nutritionnel'!F$4:F$5)/(1-0.92*SUM('Dist. de l''état nutritionnel'!F$4:F$5)))/ (SUM('Dist. de l''état nutritionnel'!F$4:F$5)/(1-SUM('Dist. de l''état nutritionnel'!F$4:F$5))))</f>
        <v>0.88534729537046319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IF(ISBLANK('Dist. de l''état nutritionnel'!E$4),0.91, (0.91*SUM('Dist. de l''état nutritionnel'!E$4:E$5)/(1-0.91*SUM('Dist. de l''état nutritionnel'!E$4:E$5)))/ (SUM('Dist. de l''état nutritionnel'!E$4:E$5)/(1-SUM('Dist. de l''état nutritionnel'!E$4:E$5))))</f>
        <v>0.89009460709971111</v>
      </c>
      <c r="F53" s="90">
        <f>IF(ISBLANK('Dist. de l''état nutritionnel'!F$4),0.91, (0.91*SUM('Dist. de l''état nutritionnel'!F$4:F$5)/(1-0.91*SUM('Dist. de l''état nutritionnel'!F$4:F$5)))/ (SUM('Dist. de l''état nutritionnel'!F$4:F$5)/(1-SUM('Dist. de l''état nutritionnel'!F$4:F$5))))</f>
        <v>0.87162015144562166</v>
      </c>
      <c r="G53" s="90">
        <f>IF(G7=1,1,G7*1.1)</f>
        <v>1</v>
      </c>
    </row>
    <row r="54" spans="1:7" x14ac:dyDescent="0.25">
      <c r="B54" s="5" t="s">
        <v>316</v>
      </c>
      <c r="C54" s="90">
        <f t="shared" si="3"/>
        <v>1</v>
      </c>
      <c r="D54" s="90">
        <f t="shared" si="3"/>
        <v>1</v>
      </c>
      <c r="E54" s="90">
        <f>IF(ISBLANK('Dist. de l''état nutritionnel'!E$4),0.91, (0.91*SUM('Dist. de l''état nutritionnel'!E$4:E$5)/(1-0.91*SUM('Dist. de l''état nutritionnel'!E$4:E$5)))/ (SUM('Dist. de l''état nutritionnel'!E$4:E$5)/(1-SUM('Dist. de l''état nutritionnel'!E$4:E$5))))</f>
        <v>0.89009460709971111</v>
      </c>
      <c r="F54" s="90">
        <f>IF(ISBLANK('Dist. de l''état nutritionnel'!F$4),0.91, (0.91*SUM('Dist. de l''état nutritionnel'!F$4:F$5)/(1-0.91*SUM('Dist. de l''état nutritionnel'!F$4:F$5)))/ (SUM('Dist. de l''état nutritionnel'!F$4:F$5)/(1-SUM('Dist. de l''état nutritionnel'!F$4:F$5))))</f>
        <v>0.87162015144562166</v>
      </c>
      <c r="G54" s="90">
        <f>IF(G8=1,1,G8*1.1)</f>
        <v>1</v>
      </c>
    </row>
    <row r="55" spans="1:7" x14ac:dyDescent="0.25">
      <c r="B55" s="5" t="s">
        <v>307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308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283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279</v>
      </c>
      <c r="B61" s="5" t="s">
        <v>310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311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121</v>
      </c>
      <c r="B63" s="11" t="s">
        <v>312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313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5">
      <c r="B67" s="11" t="s">
        <v>314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HdQAkWuUWB13/joWYSgYtNo13DzWi1hSRp7EXRMb758morYVQriWwtpSFb+pjuparC5JYT89razgX2cwWhSlDw==" saltValue="xcYk4dq6J0EEAv4e6K8PI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E28" sqref="E28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5">
      <c r="A2" s="5" t="s">
        <v>168</v>
      </c>
      <c r="B2" s="5" t="s">
        <v>317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180</v>
      </c>
      <c r="B4" s="5" t="s">
        <v>317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181</v>
      </c>
      <c r="B6" s="5" t="s">
        <v>317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190</v>
      </c>
      <c r="B12" s="5" t="s">
        <v>317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5">
      <c r="A17" s="5" t="s">
        <v>168</v>
      </c>
      <c r="B17" s="5" t="s">
        <v>317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318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180</v>
      </c>
      <c r="B19" s="5" t="s">
        <v>317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318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181</v>
      </c>
      <c r="B21" s="5" t="s">
        <v>317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318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182</v>
      </c>
      <c r="B23" s="5" t="s">
        <v>317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318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186</v>
      </c>
      <c r="B25" s="5" t="s">
        <v>317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318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190</v>
      </c>
      <c r="B27" s="5" t="s">
        <v>317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318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5">
      <c r="A32" s="5" t="s">
        <v>168</v>
      </c>
      <c r="B32" s="5" t="s">
        <v>317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318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180</v>
      </c>
      <c r="B34" s="5" t="s">
        <v>317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318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181</v>
      </c>
      <c r="B36" s="5" t="s">
        <v>317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318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182</v>
      </c>
      <c r="B38" s="5" t="s">
        <v>317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318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186</v>
      </c>
      <c r="B40" s="5" t="s">
        <v>317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318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190</v>
      </c>
      <c r="B42" s="5" t="s">
        <v>317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318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q/6Gi6tyfR6e/CAJGYcp63wElH2ZodAAP2VAfqOlMGc66dSc5YGoNySWP8vZ2XWQsLIPULiJdUNHM9mkiGMk2w==" saltValue="OsL56bCYEZbYZjv+FdG09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8" zoomScale="70" zoomScaleNormal="70" workbookViewId="0">
      <selection activeCell="E28" sqref="E28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ht="13" customHeight="1" x14ac:dyDescent="0.3">
      <c r="A2" s="4" t="s">
        <v>319</v>
      </c>
    </row>
    <row r="3" spans="1:15" x14ac:dyDescent="0.25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205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320</v>
      </c>
      <c r="B17" s="11"/>
    </row>
    <row r="18" spans="1:15" x14ac:dyDescent="0.25">
      <c r="B18" s="5" t="s">
        <v>173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174</v>
      </c>
      <c r="C19" s="90">
        <v>1</v>
      </c>
      <c r="D19" s="90">
        <v>1</v>
      </c>
      <c r="E19" s="90">
        <f>IF(ISBLANK('Dist. de l''état nutritionnel'!E$14),0.72,(0.72*'Dist. de l''état nutritionnel'!E$14/(1-0.72*'Dist. de l''état nutritionnel'!E$14))
/ ('Dist. de l''état nutritionnel'!E$14/(1-'Dist. de l''état nutritionnel'!E$14)))</f>
        <v>0.29704574335210243</v>
      </c>
      <c r="F19" s="90">
        <f>IF(ISBLANK('Dist. de l''état nutritionnel'!F$14),0.72,(0.72*'Dist. de l''état nutritionnel'!F$14/(1-0.72*'Dist. de l''état nutritionnel'!F$14))
/ ('Dist. de l''état nutritionnel'!F$14/(1-'Dist. de l''état nutritionnel'!F$14)))</f>
        <v>0.42049559588804009</v>
      </c>
      <c r="G19" s="90">
        <f>IF(ISBLANK('Dist. de l''état nutritionnel'!G$14),0.72,(0.72*'Dist. de l''état nutritionnel'!G$14/(1-0.72*'Dist. de l''état nutritionnel'!G$14))
/ ('Dist. de l''état nutritionnel'!G$14/(1-'Dist. de l''état nutritionnel'!G$14)))</f>
        <v>0.42049559588804009</v>
      </c>
      <c r="H19" s="90">
        <f>IF(ISBLANK('Dist. de l''état nutritionnel'!H$14),0.72,(0.72*'Dist. de l''état nutritionnel'!H$14/(1-0.72*'Dist. de l''état nutritionnel'!H$14))
/ ('Dist. de l''état nutritionnel'!H$14/(1-'Dist. de l''état nutritionnel'!H$14)))</f>
        <v>0.55600659647342388</v>
      </c>
      <c r="I19" s="90">
        <f>IF(ISBLANK('Dist. de l''état nutritionnel'!I$14),0.72,(0.72*'Dist. de l''état nutritionnel'!I$14/(1-0.72*'Dist. de l''état nutritionnel'!I$14))
/ ('Dist. de l''état nutritionnel'!I$14/(1-'Dist. de l''état nutritionnel'!I$14)))</f>
        <v>0.55600659647342388</v>
      </c>
      <c r="J19" s="90">
        <f>IF(ISBLANK('Dist. de l''état nutritionnel'!J$14),0.72,(0.72*'Dist. de l''état nutritionnel'!J$14/(1-0.72*'Dist. de l''état nutritionnel'!J$14))
/ ('Dist. de l''état nutritionnel'!J$14/(1-'Dist. de l''état nutritionnel'!J$14)))</f>
        <v>0.55600659647342388</v>
      </c>
      <c r="K19" s="90">
        <f>IF(ISBLANK('Dist. de l''état nutritionnel'!K$14),0.72,(0.72*'Dist. de l''état nutritionnel'!K$14/(1-0.72*'Dist. de l''état nutritionnel'!K$14))
/ ('Dist. de l''état nutritionnel'!K$14/(1-'Dist. de l''état nutritionnel'!K$14)))</f>
        <v>0.55600659647342388</v>
      </c>
      <c r="L19" s="90">
        <f>IF(ISBLANK('Dist. de l''état nutritionnel'!L$14),0.72,(0.72*'Dist. de l''état nutritionnel'!L$14/(1-0.72*'Dist. de l''état nutritionnel'!L$14))
/ ('Dist. de l''état nutritionnel'!L$14/(1-'Dist. de l''état nutritionnel'!L$14)))</f>
        <v>0.55139707767239154</v>
      </c>
      <c r="M19" s="90">
        <f>IF(ISBLANK('Dist. de l''état nutritionnel'!M$14),0.72,(0.72*'Dist. de l''état nutritionnel'!M$14/(1-0.72*'Dist. de l''état nutritionnel'!M$14))
/ ('Dist. de l''état nutritionnel'!M$14/(1-'Dist. de l''état nutritionnel'!M$14)))</f>
        <v>0.55139707767239154</v>
      </c>
      <c r="N19" s="90">
        <f>IF(ISBLANK('Dist. de l''état nutritionnel'!N$14),0.72,(0.72*'Dist. de l''état nutritionnel'!N$14/(1-0.72*'Dist. de l''état nutritionnel'!N$14))
/ ('Dist. de l''état nutritionnel'!N$14/(1-'Dist. de l''état nutritionnel'!N$14)))</f>
        <v>0.55139707767239154</v>
      </c>
      <c r="O19" s="90">
        <f>IF(ISBLANK('Dist. de l''état nutritionnel'!O$14),0.72,(0.72*'Dist. de l''état nutritionnel'!O$14/(1-0.72*'Dist. de l''état nutritionnel'!O$14))
/ ('Dist. de l''état nutritionnel'!O$14/(1-'Dist. de l''état nutritionnel'!O$14)))</f>
        <v>0.55139707767239154</v>
      </c>
    </row>
    <row r="20" spans="1:15" x14ac:dyDescent="0.25">
      <c r="B20" s="5" t="s">
        <v>175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183</v>
      </c>
      <c r="C21" s="90">
        <v>1</v>
      </c>
      <c r="D21" s="90">
        <v>1</v>
      </c>
      <c r="E21" s="90">
        <f>IF(ISBLANK('Dist. de l''état nutritionnel'!E$14),0.8,(0.8*'Dist. de l''état nutritionnel'!E$14/(1-0.8*'Dist. de l''état nutritionnel'!E$14))
/ ('Dist. de l''état nutritionnel'!E$14/(1-'Dist. de l''état nutritionnel'!E$14)))</f>
        <v>0.39661895026494742</v>
      </c>
      <c r="F21" s="90">
        <f>IF(ISBLANK('Dist. de l''état nutritionnel'!F$14),0.8,(0.8*'Dist. de l''état nutritionnel'!F$14/(1-0.8*'Dist. de l''état nutritionnel'!F$14))
/ ('Dist. de l''état nutritionnel'!F$14/(1-'Dist. de l''état nutritionnel'!F$14)))</f>
        <v>0.53023643490526318</v>
      </c>
      <c r="G21" s="90">
        <f>IF(ISBLANK('Dist. de l''état nutritionnel'!G$14),0.8,(0.8*'Dist. de l''état nutritionnel'!G$14/(1-0.8*'Dist. de l''état nutritionnel'!G$14))
/ ('Dist. de l''état nutritionnel'!G$14/(1-'Dist. de l''état nutritionnel'!G$14)))</f>
        <v>0.53023643490526318</v>
      </c>
      <c r="H21" s="90">
        <f>IF(ISBLANK('Dist. de l''état nutritionnel'!H$14),0.8,(0.8*'Dist. de l''état nutritionnel'!H$14/(1-0.8*'Dist. de l''état nutritionnel'!H$14))
/ ('Dist. de l''état nutritionnel'!H$14/(1-'Dist. de l''état nutritionnel'!H$14)))</f>
        <v>0.66078697421981014</v>
      </c>
      <c r="I21" s="90">
        <f>IF(ISBLANK('Dist. de l''état nutritionnel'!I$14),0.8,(0.8*'Dist. de l''état nutritionnel'!I$14/(1-0.8*'Dist. de l''état nutritionnel'!I$14))
/ ('Dist. de l''état nutritionnel'!I$14/(1-'Dist. de l''état nutritionnel'!I$14)))</f>
        <v>0.66078697421981014</v>
      </c>
      <c r="J21" s="90">
        <f>IF(ISBLANK('Dist. de l''état nutritionnel'!J$14),0.8,(0.8*'Dist. de l''état nutritionnel'!J$14/(1-0.8*'Dist. de l''état nutritionnel'!J$14))
/ ('Dist. de l''état nutritionnel'!J$14/(1-'Dist. de l''état nutritionnel'!J$14)))</f>
        <v>0.66078697421981014</v>
      </c>
      <c r="K21" s="90">
        <f>IF(ISBLANK('Dist. de l''état nutritionnel'!K$14),0.8,(0.8*'Dist. de l''état nutritionnel'!K$14/(1-0.8*'Dist. de l''état nutritionnel'!K$14))
/ ('Dist. de l''état nutritionnel'!K$14/(1-'Dist. de l''état nutritionnel'!K$14)))</f>
        <v>0.66078697421981014</v>
      </c>
      <c r="L21" s="90">
        <f>IF(ISBLANK('Dist. de l''état nutritionnel'!L$14),0.8,(0.8*'Dist. de l''état nutritionnel'!L$14/(1-0.8*'Dist. de l''état nutritionnel'!L$14))
/ ('Dist. de l''état nutritionnel'!L$14/(1-'Dist. de l''état nutritionnel'!L$14)))</f>
        <v>0.65659340659340648</v>
      </c>
      <c r="M21" s="90">
        <f>IF(ISBLANK('Dist. de l''état nutritionnel'!M$14),0.8,(0.8*'Dist. de l''état nutritionnel'!M$14/(1-0.8*'Dist. de l''état nutritionnel'!M$14))
/ ('Dist. de l''état nutritionnel'!M$14/(1-'Dist. de l''état nutritionnel'!M$14)))</f>
        <v>0.65659340659340648</v>
      </c>
      <c r="N21" s="90">
        <f>IF(ISBLANK('Dist. de l''état nutritionnel'!N$14),0.8,(0.8*'Dist. de l''état nutritionnel'!N$14/(1-0.8*'Dist. de l''état nutritionnel'!N$14))
/ ('Dist. de l''état nutritionnel'!N$14/(1-'Dist. de l''état nutritionnel'!N$14)))</f>
        <v>0.65659340659340648</v>
      </c>
      <c r="O21" s="90">
        <f>IF(ISBLANK('Dist. de l''état nutritionnel'!O$14),0.8,(0.8*'Dist. de l''état nutritionnel'!O$14/(1-0.8*'Dist. de l''état nutritionnel'!O$14))
/ ('Dist. de l''état nutritionnel'!O$14/(1-'Dist. de l''état nutritionnel'!O$14)))</f>
        <v>0.65659340659340648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ht="13" customHeight="1" x14ac:dyDescent="0.3">
      <c r="A25" s="4" t="s">
        <v>321</v>
      </c>
    </row>
    <row r="26" spans="1:15" x14ac:dyDescent="0.25">
      <c r="B26" s="11" t="s">
        <v>171</v>
      </c>
      <c r="C26" s="90">
        <v>0.4</v>
      </c>
      <c r="D26" s="90">
        <v>0.4</v>
      </c>
      <c r="E26" s="90">
        <f t="shared" ref="E26:O26" si="0">IF(E3=1,1,E3*0.9)</f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176</v>
      </c>
      <c r="C27" s="90">
        <f t="shared" ref="C27:G33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2">IF(L4=1,1,L4*0.9)</f>
        <v>1</v>
      </c>
      <c r="M27" s="90">
        <f t="shared" si="2"/>
        <v>1</v>
      </c>
      <c r="N27" s="90">
        <f t="shared" si="2"/>
        <v>1</v>
      </c>
      <c r="O27" s="90">
        <f t="shared" si="2"/>
        <v>1</v>
      </c>
    </row>
    <row r="28" spans="1:15" x14ac:dyDescent="0.25">
      <c r="B28" s="11" t="s">
        <v>177</v>
      </c>
      <c r="C28" s="90">
        <f t="shared" si="1"/>
        <v>1</v>
      </c>
      <c r="D28" s="90">
        <f t="shared" si="1"/>
        <v>1</v>
      </c>
      <c r="E28" s="90">
        <f t="shared" si="1"/>
        <v>1</v>
      </c>
      <c r="F28" s="90">
        <f t="shared" si="1"/>
        <v>1</v>
      </c>
      <c r="G28" s="90">
        <f t="shared" si="1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178</v>
      </c>
      <c r="C29" s="90">
        <f t="shared" si="1"/>
        <v>1</v>
      </c>
      <c r="D29" s="90">
        <f t="shared" si="1"/>
        <v>1</v>
      </c>
      <c r="E29" s="90">
        <f t="shared" si="1"/>
        <v>1</v>
      </c>
      <c r="F29" s="90">
        <f t="shared" si="1"/>
        <v>1</v>
      </c>
      <c r="G29" s="90">
        <f t="shared" si="1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2"/>
        <v>1</v>
      </c>
      <c r="M29" s="90">
        <f t="shared" si="2"/>
        <v>1</v>
      </c>
      <c r="N29" s="90">
        <f t="shared" si="2"/>
        <v>1</v>
      </c>
      <c r="O29" s="90">
        <f t="shared" si="2"/>
        <v>1</v>
      </c>
    </row>
    <row r="30" spans="1:15" x14ac:dyDescent="0.25">
      <c r="B30" s="11" t="s">
        <v>179</v>
      </c>
      <c r="C30" s="90">
        <f t="shared" si="1"/>
        <v>1</v>
      </c>
      <c r="D30" s="90">
        <f t="shared" si="1"/>
        <v>1</v>
      </c>
      <c r="E30" s="90">
        <f t="shared" si="1"/>
        <v>1</v>
      </c>
      <c r="F30" s="90">
        <f t="shared" si="1"/>
        <v>1</v>
      </c>
      <c r="G30" s="90">
        <f t="shared" si="1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2"/>
        <v>1</v>
      </c>
      <c r="M30" s="90">
        <f t="shared" si="2"/>
        <v>1</v>
      </c>
      <c r="N30" s="90">
        <f t="shared" si="2"/>
        <v>1</v>
      </c>
      <c r="O30" s="90">
        <f t="shared" si="2"/>
        <v>1</v>
      </c>
    </row>
    <row r="31" spans="1:15" x14ac:dyDescent="0.25">
      <c r="B31" s="5" t="s">
        <v>180</v>
      </c>
      <c r="C31" s="90">
        <f t="shared" si="1"/>
        <v>1</v>
      </c>
      <c r="D31" s="90">
        <f t="shared" si="1"/>
        <v>1</v>
      </c>
      <c r="E31" s="90">
        <f t="shared" si="1"/>
        <v>1</v>
      </c>
      <c r="F31" s="90">
        <f t="shared" si="1"/>
        <v>1</v>
      </c>
      <c r="G31" s="90">
        <f t="shared" si="1"/>
        <v>1</v>
      </c>
      <c r="H31" s="90">
        <f t="shared" ref="H31:K34" si="3">IF(H8=1,1,H8*0.9)</f>
        <v>1</v>
      </c>
      <c r="I31" s="90">
        <f t="shared" si="3"/>
        <v>1</v>
      </c>
      <c r="J31" s="90">
        <f t="shared" si="3"/>
        <v>1</v>
      </c>
      <c r="K31" s="90">
        <f t="shared" si="3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181</v>
      </c>
      <c r="C32" s="90">
        <f t="shared" si="1"/>
        <v>1</v>
      </c>
      <c r="D32" s="90">
        <f t="shared" si="1"/>
        <v>1</v>
      </c>
      <c r="E32" s="90">
        <f t="shared" si="1"/>
        <v>1</v>
      </c>
      <c r="F32" s="90">
        <f t="shared" si="1"/>
        <v>1</v>
      </c>
      <c r="G32" s="90">
        <f t="shared" si="1"/>
        <v>1</v>
      </c>
      <c r="H32" s="90">
        <f t="shared" si="3"/>
        <v>1</v>
      </c>
      <c r="I32" s="90">
        <f t="shared" si="3"/>
        <v>1</v>
      </c>
      <c r="J32" s="90">
        <f t="shared" si="3"/>
        <v>1</v>
      </c>
      <c r="K32" s="90">
        <f t="shared" si="3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182</v>
      </c>
      <c r="C33" s="90">
        <f t="shared" si="1"/>
        <v>1</v>
      </c>
      <c r="D33" s="90">
        <f t="shared" si="1"/>
        <v>1</v>
      </c>
      <c r="E33" s="90">
        <f t="shared" si="1"/>
        <v>1</v>
      </c>
      <c r="F33" s="90">
        <f t="shared" si="1"/>
        <v>1</v>
      </c>
      <c r="G33" s="90">
        <f t="shared" si="1"/>
        <v>1</v>
      </c>
      <c r="H33" s="90">
        <f t="shared" si="3"/>
        <v>1</v>
      </c>
      <c r="I33" s="90">
        <f t="shared" si="3"/>
        <v>1</v>
      </c>
      <c r="J33" s="90">
        <f t="shared" si="3"/>
        <v>1</v>
      </c>
      <c r="K33" s="90">
        <f t="shared" si="3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185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3"/>
        <v>1</v>
      </c>
      <c r="I34" s="90">
        <f t="shared" si="3"/>
        <v>1</v>
      </c>
      <c r="J34" s="90">
        <f t="shared" si="3"/>
        <v>1</v>
      </c>
      <c r="K34" s="90">
        <f t="shared" si="3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186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189</v>
      </c>
      <c r="C36" s="90">
        <f t="shared" ref="C36:D38" si="4">IF(C13=1,1,C13*0.9)</f>
        <v>1</v>
      </c>
      <c r="D36" s="90">
        <f t="shared" si="4"/>
        <v>1</v>
      </c>
      <c r="E36" s="90">
        <v>0.62</v>
      </c>
      <c r="F36" s="90">
        <v>0.62</v>
      </c>
      <c r="G36" s="90">
        <v>0.62</v>
      </c>
      <c r="H36" s="90">
        <f t="shared" ref="H36:O36" si="5">IF(H13=1,1,H13*0.9)</f>
        <v>1</v>
      </c>
      <c r="I36" s="90">
        <f t="shared" si="5"/>
        <v>1</v>
      </c>
      <c r="J36" s="90">
        <f t="shared" si="5"/>
        <v>1</v>
      </c>
      <c r="K36" s="90">
        <f t="shared" si="5"/>
        <v>1</v>
      </c>
      <c r="L36" s="90">
        <f t="shared" si="5"/>
        <v>1</v>
      </c>
      <c r="M36" s="90">
        <f t="shared" si="5"/>
        <v>1</v>
      </c>
      <c r="N36" s="90">
        <f t="shared" si="5"/>
        <v>1</v>
      </c>
      <c r="O36" s="90">
        <f t="shared" si="5"/>
        <v>1</v>
      </c>
    </row>
    <row r="37" spans="1:15" x14ac:dyDescent="0.25">
      <c r="B37" s="11" t="s">
        <v>190</v>
      </c>
      <c r="C37" s="90">
        <f t="shared" si="4"/>
        <v>1</v>
      </c>
      <c r="D37" s="90">
        <f t="shared" si="4"/>
        <v>1</v>
      </c>
      <c r="E37" s="90">
        <f t="shared" ref="E37:K37" si="6">IF(E14=1,1,E14*0.9)</f>
        <v>1</v>
      </c>
      <c r="F37" s="90">
        <f t="shared" si="6"/>
        <v>1</v>
      </c>
      <c r="G37" s="90">
        <f t="shared" si="6"/>
        <v>1</v>
      </c>
      <c r="H37" s="90">
        <f t="shared" si="6"/>
        <v>1</v>
      </c>
      <c r="I37" s="90">
        <f t="shared" si="6"/>
        <v>1</v>
      </c>
      <c r="J37" s="90">
        <f t="shared" si="6"/>
        <v>1</v>
      </c>
      <c r="K37" s="90">
        <f t="shared" si="6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205</v>
      </c>
      <c r="C38" s="90">
        <f t="shared" si="4"/>
        <v>1</v>
      </c>
      <c r="D38" s="90">
        <f t="shared" si="4"/>
        <v>1</v>
      </c>
      <c r="E38" s="90">
        <v>0.3</v>
      </c>
      <c r="F38" s="90">
        <v>0.3</v>
      </c>
      <c r="G38" s="90">
        <f t="shared" ref="G38:O38" si="7">IF(G15=1,1,G15*0.9)</f>
        <v>1</v>
      </c>
      <c r="H38" s="90">
        <f t="shared" si="7"/>
        <v>1</v>
      </c>
      <c r="I38" s="90">
        <f t="shared" si="7"/>
        <v>1</v>
      </c>
      <c r="J38" s="90">
        <f t="shared" si="7"/>
        <v>1</v>
      </c>
      <c r="K38" s="90">
        <f t="shared" si="7"/>
        <v>1</v>
      </c>
      <c r="L38" s="90">
        <f t="shared" si="7"/>
        <v>1</v>
      </c>
      <c r="M38" s="90">
        <f t="shared" si="7"/>
        <v>1</v>
      </c>
      <c r="N38" s="90">
        <f t="shared" si="7"/>
        <v>1</v>
      </c>
      <c r="O38" s="90">
        <f t="shared" si="7"/>
        <v>1</v>
      </c>
    </row>
    <row r="40" spans="1:15" ht="13" customHeight="1" x14ac:dyDescent="0.3">
      <c r="A40" s="4" t="s">
        <v>323</v>
      </c>
      <c r="B40" s="11"/>
    </row>
    <row r="41" spans="1:15" x14ac:dyDescent="0.25">
      <c r="B41" s="5" t="s">
        <v>173</v>
      </c>
      <c r="C41" s="90">
        <f t="shared" ref="C41:O41" si="8">IF(C18=1,1,C18*0.9)</f>
        <v>1</v>
      </c>
      <c r="D41" s="90">
        <f t="shared" si="8"/>
        <v>1</v>
      </c>
      <c r="E41" s="90">
        <f t="shared" si="8"/>
        <v>1</v>
      </c>
      <c r="F41" s="90">
        <f t="shared" si="8"/>
        <v>1</v>
      </c>
      <c r="G41" s="90">
        <f t="shared" si="8"/>
        <v>1</v>
      </c>
      <c r="H41" s="90">
        <f t="shared" si="8"/>
        <v>1</v>
      </c>
      <c r="I41" s="90">
        <f t="shared" si="8"/>
        <v>1</v>
      </c>
      <c r="J41" s="90">
        <f t="shared" si="8"/>
        <v>1</v>
      </c>
      <c r="K41" s="90">
        <f t="shared" si="8"/>
        <v>1</v>
      </c>
      <c r="L41" s="90">
        <f t="shared" si="8"/>
        <v>1</v>
      </c>
      <c r="M41" s="90">
        <f t="shared" si="8"/>
        <v>1</v>
      </c>
      <c r="N41" s="90">
        <f t="shared" si="8"/>
        <v>1</v>
      </c>
      <c r="O41" s="90">
        <f t="shared" si="8"/>
        <v>1</v>
      </c>
    </row>
    <row r="42" spans="1:15" x14ac:dyDescent="0.25">
      <c r="B42" s="5" t="s">
        <v>174</v>
      </c>
      <c r="C42" s="90">
        <f t="shared" ref="C42:D44" si="9">IF(C19=1,1,C19*0.9)</f>
        <v>1</v>
      </c>
      <c r="D42" s="90">
        <f t="shared" si="9"/>
        <v>1</v>
      </c>
      <c r="E42" s="90">
        <f>IF(ISBLANK('Dist. de l''état nutritionnel'!E$14),0.54,(0.54*'Dist. de l''état nutritionnel'!E$14/(1-0.54*'Dist. de l''état nutritionnel'!E$14))
/ ('Dist. de l''état nutritionnel'!E$14/(1-'Dist. de l''état nutritionnel'!E$14)))</f>
        <v>0.16171472572223267</v>
      </c>
      <c r="F42" s="90">
        <f>IF(ISBLANK('Dist. de l''état nutritionnel'!F$14),0.54,(0.54*'Dist. de l''état nutritionnel'!F$14/(1-0.54*'Dist. de l''état nutritionnel'!F$14))
/ ('Dist. de l''état nutritionnel'!F$14/(1-'Dist. de l''état nutritionnel'!F$14)))</f>
        <v>0.24883071832871506</v>
      </c>
      <c r="G42" s="90">
        <f>IF(ISBLANK('Dist. de l''état nutritionnel'!G$14),0.54,(0.54*'Dist. de l''état nutritionnel'!G$14/(1-0.54*'Dist. de l''état nutritionnel'!G$14))
/ ('Dist. de l''état nutritionnel'!G$14/(1-'Dist. de l''état nutritionnel'!G$14)))</f>
        <v>0.24883071832871506</v>
      </c>
      <c r="H42" s="90">
        <f>IF(ISBLANK('Dist. de l''état nutritionnel'!H$14),0.54,(0.54*'Dist. de l''état nutritionnel'!H$14/(1-0.54*'Dist. de l''état nutritionnel'!H$14))
/ ('Dist. de l''état nutritionnel'!H$14/(1-'Dist. de l''état nutritionnel'!H$14)))</f>
        <v>0.36374450192259816</v>
      </c>
      <c r="I42" s="90">
        <f>IF(ISBLANK('Dist. de l''état nutritionnel'!I$14),0.54,(0.54*'Dist. de l''état nutritionnel'!I$14/(1-0.54*'Dist. de l''état nutritionnel'!I$14))
/ ('Dist. de l''état nutritionnel'!I$14/(1-'Dist. de l''état nutritionnel'!I$14)))</f>
        <v>0.36374450192259816</v>
      </c>
      <c r="J42" s="90">
        <f>IF(ISBLANK('Dist. de l''état nutritionnel'!J$14),0.54,(0.54*'Dist. de l''état nutritionnel'!J$14/(1-0.54*'Dist. de l''état nutritionnel'!J$14))
/ ('Dist. de l''état nutritionnel'!J$14/(1-'Dist. de l''état nutritionnel'!J$14)))</f>
        <v>0.36374450192259816</v>
      </c>
      <c r="K42" s="90">
        <f>IF(ISBLANK('Dist. de l''état nutritionnel'!K$14),0.54,(0.54*'Dist. de l''état nutritionnel'!K$14/(1-0.54*'Dist. de l''état nutritionnel'!K$14))
/ ('Dist. de l''état nutritionnel'!K$14/(1-'Dist. de l''état nutritionnel'!K$14)))</f>
        <v>0.36374450192259816</v>
      </c>
      <c r="L42" s="90">
        <f>IF(ISBLANK('Dist. de l''état nutritionnel'!L$14),0.54,(0.54*'Dist. de l''état nutritionnel'!L$14/(1-0.54*'Dist. de l''état nutritionnel'!L$14))
/ ('Dist. de l''état nutritionnel'!L$14/(1-'Dist. de l''état nutritionnel'!L$14)))</f>
        <v>0.35943853394975772</v>
      </c>
      <c r="M42" s="90">
        <f>IF(ISBLANK('Dist. de l''état nutritionnel'!M$14),0.54,(0.54*'Dist. de l''état nutritionnel'!M$14/(1-0.54*'Dist. de l''état nutritionnel'!M$14))
/ ('Dist. de l''état nutritionnel'!M$14/(1-'Dist. de l''état nutritionnel'!M$14)))</f>
        <v>0.35943853394975772</v>
      </c>
      <c r="N42" s="90">
        <f>IF(ISBLANK('Dist. de l''état nutritionnel'!N$14),0.54,(0.54*'Dist. de l''état nutritionnel'!N$14/(1-0.54*'Dist. de l''état nutritionnel'!N$14))
/ ('Dist. de l''état nutritionnel'!N$14/(1-'Dist. de l''état nutritionnel'!N$14)))</f>
        <v>0.35943853394975772</v>
      </c>
      <c r="O42" s="90">
        <f>IF(ISBLANK('Dist. de l''état nutritionnel'!O$14),0.54,(0.54*'Dist. de l''état nutritionnel'!O$14/(1-0.54*'Dist. de l''état nutritionnel'!O$14))
/ ('Dist. de l''état nutritionnel'!O$14/(1-'Dist. de l''état nutritionnel'!O$14)))</f>
        <v>0.35943853394975772</v>
      </c>
    </row>
    <row r="43" spans="1:15" x14ac:dyDescent="0.25">
      <c r="B43" s="5" t="s">
        <v>175</v>
      </c>
      <c r="C43" s="90">
        <f t="shared" si="9"/>
        <v>1</v>
      </c>
      <c r="D43" s="90">
        <f t="shared" si="9"/>
        <v>1</v>
      </c>
      <c r="E43" s="90">
        <f t="shared" ref="E43:O43" si="10">IF(E20=1,1,E20*0.9)</f>
        <v>1</v>
      </c>
      <c r="F43" s="90">
        <f t="shared" si="10"/>
        <v>1</v>
      </c>
      <c r="G43" s="90">
        <f t="shared" si="10"/>
        <v>1</v>
      </c>
      <c r="H43" s="90">
        <f t="shared" si="10"/>
        <v>1</v>
      </c>
      <c r="I43" s="90">
        <f t="shared" si="10"/>
        <v>1</v>
      </c>
      <c r="J43" s="90">
        <f t="shared" si="10"/>
        <v>1</v>
      </c>
      <c r="K43" s="90">
        <f t="shared" si="10"/>
        <v>1</v>
      </c>
      <c r="L43" s="90">
        <f t="shared" si="10"/>
        <v>1</v>
      </c>
      <c r="M43" s="90">
        <f t="shared" si="10"/>
        <v>1</v>
      </c>
      <c r="N43" s="90">
        <f t="shared" si="10"/>
        <v>1</v>
      </c>
      <c r="O43" s="90">
        <f t="shared" si="10"/>
        <v>1</v>
      </c>
    </row>
    <row r="44" spans="1:15" x14ac:dyDescent="0.25">
      <c r="B44" s="5" t="s">
        <v>183</v>
      </c>
      <c r="C44" s="90">
        <f t="shared" si="9"/>
        <v>1</v>
      </c>
      <c r="D44" s="90">
        <f t="shared" si="9"/>
        <v>1</v>
      </c>
      <c r="E44" s="90">
        <f>IF(ISBLANK('Dist. de l''état nutritionnel'!E$14),0.7,(0.7*'Dist. de l''état nutritionnel'!E$14/(1-0.7*'Dist. de l''état nutritionnel'!E$14))
/ ('Dist. de l''état nutritionnel'!E$14/(1-'Dist. de l''état nutritionnel'!E$14)))</f>
        <v>0.27716471134852766</v>
      </c>
      <c r="F44" s="90">
        <f>IF(ISBLANK('Dist. de l''état nutritionnel'!F$14),0.7,(0.7*'Dist. de l''état nutritionnel'!F$14/(1-0.7*'Dist. de l''état nutritionnel'!F$14))
/ ('Dist. de l''état nutritionnel'!F$14/(1-'Dist. de l''état nutritionnel'!F$14)))</f>
        <v>0.39701865130191266</v>
      </c>
      <c r="G44" s="90">
        <f>IF(ISBLANK('Dist. de l''état nutritionnel'!G$14),0.7,(0.7*'Dist. de l''état nutritionnel'!G$14/(1-0.7*'Dist. de l''état nutritionnel'!G$14))
/ ('Dist. de l''état nutritionnel'!G$14/(1-'Dist. de l''état nutritionnel'!G$14)))</f>
        <v>0.39701865130191266</v>
      </c>
      <c r="H44" s="90">
        <f>IF(ISBLANK('Dist. de l''état nutritionnel'!H$14),0.7,(0.7*'Dist. de l''état nutritionnel'!H$14/(1-0.7*'Dist. de l''état nutritionnel'!H$14))
/ ('Dist. de l''état nutritionnel'!H$14/(1-'Dist. de l''état nutritionnel'!H$14)))</f>
        <v>0.53190825401778741</v>
      </c>
      <c r="I44" s="90">
        <f>IF(ISBLANK('Dist. de l''état nutritionnel'!I$14),0.7,(0.7*'Dist. de l''état nutritionnel'!I$14/(1-0.7*'Dist. de l''état nutritionnel'!I$14))
/ ('Dist. de l''état nutritionnel'!I$14/(1-'Dist. de l''état nutritionnel'!I$14)))</f>
        <v>0.53190825401778741</v>
      </c>
      <c r="J44" s="90">
        <f>IF(ISBLANK('Dist. de l''état nutritionnel'!J$14),0.7,(0.7*'Dist. de l''état nutritionnel'!J$14/(1-0.7*'Dist. de l''état nutritionnel'!J$14))
/ ('Dist. de l''état nutritionnel'!J$14/(1-'Dist. de l''état nutritionnel'!J$14)))</f>
        <v>0.53190825401778741</v>
      </c>
      <c r="K44" s="90">
        <f>IF(ISBLANK('Dist. de l''état nutritionnel'!K$14),0.7,(0.7*'Dist. de l''état nutritionnel'!K$14/(1-0.7*'Dist. de l''état nutritionnel'!K$14))
/ ('Dist. de l''état nutritionnel'!K$14/(1-'Dist. de l''état nutritionnel'!K$14)))</f>
        <v>0.53190825401778741</v>
      </c>
      <c r="L44" s="90">
        <f>IF(ISBLANK('Dist. de l''état nutritionnel'!L$14),0.7,(0.7*'Dist. de l''état nutritionnel'!L$14/(1-0.7*'Dist. de l''état nutritionnel'!L$14))
/ ('Dist. de l''état nutritionnel'!L$14/(1-'Dist. de l''état nutritionnel'!L$14)))</f>
        <v>0.52726126693980457</v>
      </c>
      <c r="M44" s="90">
        <f>IF(ISBLANK('Dist. de l''état nutritionnel'!M$14),0.7,(0.7*'Dist. de l''état nutritionnel'!M$14/(1-0.7*'Dist. de l''état nutritionnel'!M$14))
/ ('Dist. de l''état nutritionnel'!M$14/(1-'Dist. de l''état nutritionnel'!M$14)))</f>
        <v>0.52726126693980457</v>
      </c>
      <c r="N44" s="90">
        <f>IF(ISBLANK('Dist. de l''état nutritionnel'!N$14),0.7,(0.7*'Dist. de l''état nutritionnel'!N$14/(1-0.7*'Dist. de l''état nutritionnel'!N$14))
/ ('Dist. de l''état nutritionnel'!N$14/(1-'Dist. de l''état nutritionnel'!N$14)))</f>
        <v>0.52726126693980457</v>
      </c>
      <c r="O44" s="90">
        <f>IF(ISBLANK('Dist. de l''état nutritionnel'!O$14),0.7,(0.7*'Dist. de l''état nutritionnel'!O$14/(1-0.7*'Dist. de l''état nutritionnel'!O$14))
/ ('Dist. de l''état nutritionnel'!O$14/(1-'Dist. de l''état nutritionnel'!O$14)))</f>
        <v>0.52726126693980457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ht="13" customHeight="1" x14ac:dyDescent="0.3">
      <c r="A48" s="4" t="s">
        <v>322</v>
      </c>
    </row>
    <row r="49" spans="1:15" x14ac:dyDescent="0.25">
      <c r="B49" s="11" t="s">
        <v>171</v>
      </c>
      <c r="C49" s="90">
        <v>0.7</v>
      </c>
      <c r="D49" s="90">
        <v>0.7</v>
      </c>
      <c r="E49" s="90">
        <f t="shared" ref="E49:O49" si="11">IF(E3=1,1,E3*1.05)</f>
        <v>1</v>
      </c>
      <c r="F49" s="90">
        <f t="shared" si="11"/>
        <v>1</v>
      </c>
      <c r="G49" s="90">
        <f t="shared" si="11"/>
        <v>1</v>
      </c>
      <c r="H49" s="90">
        <f t="shared" si="11"/>
        <v>1</v>
      </c>
      <c r="I49" s="90">
        <f t="shared" si="11"/>
        <v>1</v>
      </c>
      <c r="J49" s="90">
        <f t="shared" si="11"/>
        <v>1</v>
      </c>
      <c r="K49" s="90">
        <f t="shared" si="11"/>
        <v>1</v>
      </c>
      <c r="L49" s="90">
        <f t="shared" si="11"/>
        <v>1</v>
      </c>
      <c r="M49" s="90">
        <f t="shared" si="11"/>
        <v>1</v>
      </c>
      <c r="N49" s="90">
        <f t="shared" si="11"/>
        <v>1</v>
      </c>
      <c r="O49" s="90">
        <f t="shared" si="11"/>
        <v>1</v>
      </c>
    </row>
    <row r="50" spans="1:15" x14ac:dyDescent="0.25">
      <c r="B50" s="11" t="s">
        <v>176</v>
      </c>
      <c r="C50" s="90">
        <f t="shared" ref="C50:G56" si="12">IF(C4=1,1,C4*1.05)</f>
        <v>1</v>
      </c>
      <c r="D50" s="90">
        <f t="shared" si="12"/>
        <v>1</v>
      </c>
      <c r="E50" s="90">
        <f t="shared" si="12"/>
        <v>1</v>
      </c>
      <c r="F50" s="90">
        <f t="shared" si="12"/>
        <v>1</v>
      </c>
      <c r="G50" s="90">
        <f t="shared" si="12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3">IF(L4=1,1,L4*1.05)</f>
        <v>1</v>
      </c>
      <c r="M50" s="90">
        <f t="shared" si="13"/>
        <v>1</v>
      </c>
      <c r="N50" s="90">
        <f t="shared" si="13"/>
        <v>1</v>
      </c>
      <c r="O50" s="90">
        <f t="shared" si="13"/>
        <v>1</v>
      </c>
    </row>
    <row r="51" spans="1:15" x14ac:dyDescent="0.25">
      <c r="B51" s="11" t="s">
        <v>177</v>
      </c>
      <c r="C51" s="90">
        <f t="shared" si="12"/>
        <v>1</v>
      </c>
      <c r="D51" s="90">
        <f t="shared" si="12"/>
        <v>1</v>
      </c>
      <c r="E51" s="90">
        <f t="shared" si="12"/>
        <v>1</v>
      </c>
      <c r="F51" s="90">
        <f t="shared" si="12"/>
        <v>1</v>
      </c>
      <c r="G51" s="90">
        <f t="shared" si="12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3"/>
        <v>1</v>
      </c>
      <c r="M51" s="90">
        <f t="shared" si="13"/>
        <v>1</v>
      </c>
      <c r="N51" s="90">
        <f t="shared" si="13"/>
        <v>1</v>
      </c>
      <c r="O51" s="90">
        <f t="shared" si="13"/>
        <v>1</v>
      </c>
    </row>
    <row r="52" spans="1:15" x14ac:dyDescent="0.25">
      <c r="B52" s="11" t="s">
        <v>178</v>
      </c>
      <c r="C52" s="90">
        <f t="shared" si="12"/>
        <v>1</v>
      </c>
      <c r="D52" s="90">
        <f t="shared" si="12"/>
        <v>1</v>
      </c>
      <c r="E52" s="90">
        <f t="shared" si="12"/>
        <v>1</v>
      </c>
      <c r="F52" s="90">
        <f t="shared" si="12"/>
        <v>1</v>
      </c>
      <c r="G52" s="90">
        <f t="shared" si="12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3"/>
        <v>1</v>
      </c>
      <c r="M52" s="90">
        <f t="shared" si="13"/>
        <v>1</v>
      </c>
      <c r="N52" s="90">
        <f t="shared" si="13"/>
        <v>1</v>
      </c>
      <c r="O52" s="90">
        <f t="shared" si="13"/>
        <v>1</v>
      </c>
    </row>
    <row r="53" spans="1:15" x14ac:dyDescent="0.25">
      <c r="B53" s="11" t="s">
        <v>179</v>
      </c>
      <c r="C53" s="90">
        <f t="shared" si="12"/>
        <v>1</v>
      </c>
      <c r="D53" s="90">
        <f t="shared" si="12"/>
        <v>1</v>
      </c>
      <c r="E53" s="90">
        <f t="shared" si="12"/>
        <v>1</v>
      </c>
      <c r="F53" s="90">
        <f t="shared" si="12"/>
        <v>1</v>
      </c>
      <c r="G53" s="90">
        <f t="shared" si="12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3"/>
        <v>1</v>
      </c>
      <c r="M53" s="90">
        <f t="shared" si="13"/>
        <v>1</v>
      </c>
      <c r="N53" s="90">
        <f t="shared" si="13"/>
        <v>1</v>
      </c>
      <c r="O53" s="90">
        <f t="shared" si="13"/>
        <v>1</v>
      </c>
    </row>
    <row r="54" spans="1:15" x14ac:dyDescent="0.25">
      <c r="B54" s="5" t="s">
        <v>180</v>
      </c>
      <c r="C54" s="90">
        <f t="shared" si="12"/>
        <v>1</v>
      </c>
      <c r="D54" s="90">
        <f t="shared" si="12"/>
        <v>1</v>
      </c>
      <c r="E54" s="90">
        <f t="shared" si="12"/>
        <v>1</v>
      </c>
      <c r="F54" s="90">
        <f t="shared" si="12"/>
        <v>1</v>
      </c>
      <c r="G54" s="90">
        <f t="shared" si="12"/>
        <v>1</v>
      </c>
      <c r="H54" s="90">
        <f t="shared" ref="H54:K57" si="14">IF(H8=1,1,H8*1.05)</f>
        <v>1</v>
      </c>
      <c r="I54" s="90">
        <f t="shared" si="14"/>
        <v>1</v>
      </c>
      <c r="J54" s="90">
        <f t="shared" si="14"/>
        <v>1</v>
      </c>
      <c r="K54" s="90">
        <f t="shared" si="14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181</v>
      </c>
      <c r="C55" s="90">
        <f t="shared" si="12"/>
        <v>1</v>
      </c>
      <c r="D55" s="90">
        <f t="shared" si="12"/>
        <v>1</v>
      </c>
      <c r="E55" s="90">
        <f t="shared" si="12"/>
        <v>1</v>
      </c>
      <c r="F55" s="90">
        <f t="shared" si="12"/>
        <v>1</v>
      </c>
      <c r="G55" s="90">
        <f t="shared" si="12"/>
        <v>1</v>
      </c>
      <c r="H55" s="90">
        <f t="shared" si="14"/>
        <v>1</v>
      </c>
      <c r="I55" s="90">
        <f t="shared" si="14"/>
        <v>1</v>
      </c>
      <c r="J55" s="90">
        <f t="shared" si="14"/>
        <v>1</v>
      </c>
      <c r="K55" s="90">
        <f t="shared" si="14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182</v>
      </c>
      <c r="C56" s="90">
        <f t="shared" si="12"/>
        <v>1</v>
      </c>
      <c r="D56" s="90">
        <f t="shared" si="12"/>
        <v>1</v>
      </c>
      <c r="E56" s="90">
        <f t="shared" si="12"/>
        <v>1</v>
      </c>
      <c r="F56" s="90">
        <f t="shared" si="12"/>
        <v>1</v>
      </c>
      <c r="G56" s="90">
        <f t="shared" si="12"/>
        <v>1</v>
      </c>
      <c r="H56" s="90">
        <f t="shared" si="14"/>
        <v>1</v>
      </c>
      <c r="I56" s="90">
        <f t="shared" si="14"/>
        <v>1</v>
      </c>
      <c r="J56" s="90">
        <f t="shared" si="14"/>
        <v>1</v>
      </c>
      <c r="K56" s="90">
        <f t="shared" si="14"/>
        <v>1</v>
      </c>
      <c r="L56" s="90">
        <v>0.93</v>
      </c>
      <c r="M56" s="90">
        <v>0.93</v>
      </c>
      <c r="N56" s="90">
        <v>0.93</v>
      </c>
      <c r="O56" s="90">
        <v>0.93</v>
      </c>
    </row>
    <row r="57" spans="1:15" x14ac:dyDescent="0.25">
      <c r="B57" s="5" t="s">
        <v>185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4"/>
        <v>1</v>
      </c>
      <c r="I57" s="90">
        <f t="shared" si="14"/>
        <v>1</v>
      </c>
      <c r="J57" s="90">
        <f t="shared" si="14"/>
        <v>1</v>
      </c>
      <c r="K57" s="90">
        <f t="shared" si="14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186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189</v>
      </c>
      <c r="C59" s="90">
        <f t="shared" ref="C59:D61" si="15">IF(C13=1,1,C13*1.05)</f>
        <v>1</v>
      </c>
      <c r="D59" s="90">
        <f t="shared" si="15"/>
        <v>1</v>
      </c>
      <c r="E59" s="90">
        <v>0.77</v>
      </c>
      <c r="F59" s="90">
        <v>0.77</v>
      </c>
      <c r="G59" s="90">
        <v>0.77</v>
      </c>
      <c r="H59" s="90">
        <f t="shared" ref="H59:O59" si="16">IF(H13=1,1,H13*1.05)</f>
        <v>1</v>
      </c>
      <c r="I59" s="90">
        <f t="shared" si="16"/>
        <v>1</v>
      </c>
      <c r="J59" s="90">
        <f t="shared" si="16"/>
        <v>1</v>
      </c>
      <c r="K59" s="90">
        <f t="shared" si="16"/>
        <v>1</v>
      </c>
      <c r="L59" s="90">
        <f t="shared" si="16"/>
        <v>1</v>
      </c>
      <c r="M59" s="90">
        <f t="shared" si="16"/>
        <v>1</v>
      </c>
      <c r="N59" s="90">
        <f t="shared" si="16"/>
        <v>1</v>
      </c>
      <c r="O59" s="90">
        <f t="shared" si="16"/>
        <v>1</v>
      </c>
    </row>
    <row r="60" spans="1:15" x14ac:dyDescent="0.25">
      <c r="B60" s="11" t="s">
        <v>190</v>
      </c>
      <c r="C60" s="90">
        <f t="shared" si="15"/>
        <v>1</v>
      </c>
      <c r="D60" s="90">
        <f t="shared" si="15"/>
        <v>1</v>
      </c>
      <c r="E60" s="90">
        <f t="shared" ref="E60:K60" si="17">IF(E14=1,1,E14*1.05)</f>
        <v>1</v>
      </c>
      <c r="F60" s="90">
        <f t="shared" si="17"/>
        <v>1</v>
      </c>
      <c r="G60" s="90">
        <f t="shared" si="17"/>
        <v>1</v>
      </c>
      <c r="H60" s="90">
        <f t="shared" si="17"/>
        <v>1</v>
      </c>
      <c r="I60" s="90">
        <f t="shared" si="17"/>
        <v>1</v>
      </c>
      <c r="J60" s="90">
        <f t="shared" si="17"/>
        <v>1</v>
      </c>
      <c r="K60" s="90">
        <f t="shared" si="17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205</v>
      </c>
      <c r="C61" s="90">
        <f t="shared" si="15"/>
        <v>1</v>
      </c>
      <c r="D61" s="90">
        <f t="shared" si="15"/>
        <v>1</v>
      </c>
      <c r="E61" s="90">
        <v>0.44</v>
      </c>
      <c r="F61" s="90">
        <v>0.44</v>
      </c>
      <c r="G61" s="90">
        <f t="shared" ref="G61:O61" si="18">IF(G15=1,1,G15*1.05)</f>
        <v>1</v>
      </c>
      <c r="H61" s="90">
        <f t="shared" si="18"/>
        <v>1</v>
      </c>
      <c r="I61" s="90">
        <f t="shared" si="18"/>
        <v>1</v>
      </c>
      <c r="J61" s="90">
        <f t="shared" si="18"/>
        <v>1</v>
      </c>
      <c r="K61" s="90">
        <f t="shared" si="18"/>
        <v>1</v>
      </c>
      <c r="L61" s="90">
        <f t="shared" si="18"/>
        <v>1</v>
      </c>
      <c r="M61" s="90">
        <f t="shared" si="18"/>
        <v>1</v>
      </c>
      <c r="N61" s="90">
        <f t="shared" si="18"/>
        <v>1</v>
      </c>
      <c r="O61" s="90">
        <f t="shared" si="18"/>
        <v>1</v>
      </c>
    </row>
    <row r="63" spans="1:15" ht="13" customHeight="1" x14ac:dyDescent="0.3">
      <c r="A63" s="4" t="s">
        <v>324</v>
      </c>
      <c r="B63" s="11"/>
    </row>
    <row r="64" spans="1:15" x14ac:dyDescent="0.25">
      <c r="B64" s="5" t="s">
        <v>173</v>
      </c>
      <c r="C64" s="90">
        <f t="shared" ref="C64:O64" si="19">IF(C18=1,1,C18*1.05)</f>
        <v>1</v>
      </c>
      <c r="D64" s="90">
        <f t="shared" si="19"/>
        <v>1</v>
      </c>
      <c r="E64" s="90">
        <f t="shared" si="19"/>
        <v>1</v>
      </c>
      <c r="F64" s="90">
        <f t="shared" si="19"/>
        <v>1</v>
      </c>
      <c r="G64" s="90">
        <f t="shared" si="19"/>
        <v>1</v>
      </c>
      <c r="H64" s="90">
        <f t="shared" si="19"/>
        <v>1</v>
      </c>
      <c r="I64" s="90">
        <f t="shared" si="19"/>
        <v>1</v>
      </c>
      <c r="J64" s="90">
        <f t="shared" si="19"/>
        <v>1</v>
      </c>
      <c r="K64" s="90">
        <f t="shared" si="19"/>
        <v>1</v>
      </c>
      <c r="L64" s="90">
        <f t="shared" si="19"/>
        <v>1</v>
      </c>
      <c r="M64" s="90">
        <f t="shared" si="19"/>
        <v>1</v>
      </c>
      <c r="N64" s="90">
        <f t="shared" si="19"/>
        <v>1</v>
      </c>
      <c r="O64" s="90">
        <f t="shared" si="19"/>
        <v>1</v>
      </c>
    </row>
    <row r="65" spans="2:15" x14ac:dyDescent="0.25">
      <c r="B65" s="5" t="s">
        <v>174</v>
      </c>
      <c r="C65" s="90">
        <f t="shared" ref="C65:D67" si="20">IF(C19=1,1,C19*1.05)</f>
        <v>1</v>
      </c>
      <c r="D65" s="90">
        <f t="shared" si="20"/>
        <v>1</v>
      </c>
      <c r="E65" s="90">
        <f>IF(ISBLANK('Dist. de l''état nutritionnel'!E$14),0.97,(0.97*'Dist. de l''état nutritionnel'!E$14/(1-0.97*'Dist. de l''état nutritionnel'!E$14))
/ ('Dist. de l''état nutritionnel'!E$14/(1-'Dist. de l''état nutritionnel'!E$14)))</f>
        <v>0.84160667101575393</v>
      </c>
      <c r="F65" s="90">
        <f>IF(ISBLANK('Dist. de l''état nutritionnel'!F$14),0.97,(0.97*'Dist. de l''état nutritionnel'!F$14/(1-0.97*'Dist. de l''état nutritionnel'!F$14))
/ ('Dist. de l''état nutritionnel'!F$14/(1-'Dist. de l''état nutritionnel'!F$14)))</f>
        <v>0.90122387939166027</v>
      </c>
      <c r="G65" s="90">
        <f>IF(ISBLANK('Dist. de l''état nutritionnel'!G$14),0.97,(0.97*'Dist. de l''état nutritionnel'!G$14/(1-0.97*'Dist. de l''état nutritionnel'!G$14))
/ ('Dist. de l''état nutritionnel'!G$14/(1-'Dist. de l''état nutritionnel'!G$14)))</f>
        <v>0.90122387939166027</v>
      </c>
      <c r="H65" s="90">
        <f>IF(ISBLANK('Dist. de l''état nutritionnel'!H$14),0.97,(0.97*'Dist. de l''état nutritionnel'!H$14/(1-0.97*'Dist. de l''état nutritionnel'!H$14))
/ ('Dist. de l''état nutritionnel'!H$14/(1-'Dist. de l''état nutritionnel'!H$14)))</f>
        <v>0.94028543561774713</v>
      </c>
      <c r="I65" s="90">
        <f>IF(ISBLANK('Dist. de l''état nutritionnel'!I$14),0.97,(0.97*'Dist. de l''état nutritionnel'!I$14/(1-0.97*'Dist. de l''état nutritionnel'!I$14))
/ ('Dist. de l''état nutritionnel'!I$14/(1-'Dist. de l''état nutritionnel'!I$14)))</f>
        <v>0.94028543561774713</v>
      </c>
      <c r="J65" s="90">
        <f>IF(ISBLANK('Dist. de l''état nutritionnel'!J$14),0.97,(0.97*'Dist. de l''état nutritionnel'!J$14/(1-0.97*'Dist. de l''état nutritionnel'!J$14))
/ ('Dist. de l''état nutritionnel'!J$14/(1-'Dist. de l''état nutritionnel'!J$14)))</f>
        <v>0.94028543561774713</v>
      </c>
      <c r="K65" s="90">
        <f>IF(ISBLANK('Dist. de l''état nutritionnel'!K$14),0.97,(0.97*'Dist. de l''état nutritionnel'!K$14/(1-0.97*'Dist. de l''état nutritionnel'!K$14))
/ ('Dist. de l''état nutritionnel'!K$14/(1-'Dist. de l''état nutritionnel'!K$14)))</f>
        <v>0.94028543561774713</v>
      </c>
      <c r="L65" s="90">
        <f>IF(ISBLANK('Dist. de l''état nutritionnel'!L$14),0.97,(0.97*'Dist. de l''état nutritionnel'!L$14/(1-0.97*'Dist. de l''état nutritionnel'!L$14))
/ ('Dist. de l''état nutritionnel'!L$14/(1-'Dist. de l''état nutritionnel'!L$14)))</f>
        <v>0.93922942916177121</v>
      </c>
      <c r="M65" s="90">
        <f>IF(ISBLANK('Dist. de l''état nutritionnel'!M$14),0.97,(0.97*'Dist. de l''état nutritionnel'!M$14/(1-0.97*'Dist. de l''état nutritionnel'!M$14))
/ ('Dist. de l''état nutritionnel'!M$14/(1-'Dist. de l''état nutritionnel'!M$14)))</f>
        <v>0.93922942916177121</v>
      </c>
      <c r="N65" s="90">
        <f>IF(ISBLANK('Dist. de l''état nutritionnel'!N$14),0.97,(0.97*'Dist. de l''état nutritionnel'!N$14/(1-0.97*'Dist. de l''état nutritionnel'!N$14))
/ ('Dist. de l''état nutritionnel'!N$14/(1-'Dist. de l''état nutritionnel'!N$14)))</f>
        <v>0.93922942916177121</v>
      </c>
      <c r="O65" s="90">
        <f>IF(ISBLANK('Dist. de l''état nutritionnel'!O$14),0.97,(0.97*'Dist. de l''état nutritionnel'!O$14/(1-0.97*'Dist. de l''état nutritionnel'!O$14))
/ ('Dist. de l''état nutritionnel'!O$14/(1-'Dist. de l''état nutritionnel'!O$14)))</f>
        <v>0.93922942916177121</v>
      </c>
    </row>
    <row r="66" spans="2:15" x14ac:dyDescent="0.25">
      <c r="B66" s="5" t="s">
        <v>175</v>
      </c>
      <c r="C66" s="90">
        <f t="shared" si="20"/>
        <v>1</v>
      </c>
      <c r="D66" s="90">
        <f t="shared" si="20"/>
        <v>1</v>
      </c>
      <c r="E66" s="90">
        <f t="shared" ref="E66:O66" si="21">IF(E20=1,1,E20*1.05)</f>
        <v>1</v>
      </c>
      <c r="F66" s="90">
        <f t="shared" si="21"/>
        <v>1</v>
      </c>
      <c r="G66" s="90">
        <f t="shared" si="21"/>
        <v>1</v>
      </c>
      <c r="H66" s="90">
        <f t="shared" si="21"/>
        <v>1</v>
      </c>
      <c r="I66" s="90">
        <f t="shared" si="21"/>
        <v>1</v>
      </c>
      <c r="J66" s="90">
        <f t="shared" si="21"/>
        <v>1</v>
      </c>
      <c r="K66" s="90">
        <f t="shared" si="21"/>
        <v>1</v>
      </c>
      <c r="L66" s="90">
        <f t="shared" si="21"/>
        <v>1</v>
      </c>
      <c r="M66" s="90">
        <f t="shared" si="21"/>
        <v>1</v>
      </c>
      <c r="N66" s="90">
        <f t="shared" si="21"/>
        <v>1</v>
      </c>
      <c r="O66" s="90">
        <f t="shared" si="21"/>
        <v>1</v>
      </c>
    </row>
    <row r="67" spans="2:15" x14ac:dyDescent="0.25">
      <c r="B67" s="5" t="s">
        <v>183</v>
      </c>
      <c r="C67" s="90">
        <f t="shared" si="20"/>
        <v>1</v>
      </c>
      <c r="D67" s="90">
        <f t="shared" si="20"/>
        <v>1</v>
      </c>
      <c r="E67" s="90">
        <f>IF(ISBLANK('Dist. de l''état nutritionnel'!E$14),0.92,(0.92*'Dist. de l''état nutritionnel'!E$14/(1-0.92*'Dist. de l''état nutritionnel'!E$14))
/ ('Dist. de l''état nutritionnel'!E$14/(1-'Dist. de l''état nutritionnel'!E$14)))</f>
        <v>0.65395727049542529</v>
      </c>
      <c r="F67" s="90">
        <f>IF(ISBLANK('Dist. de l''état nutritionnel'!F$14),0.92,(0.92*'Dist. de l''état nutritionnel'!F$14/(1-0.92*'Dist. de l''état nutritionnel'!F$14))
/ ('Dist. de l''état nutritionnel'!F$14/(1-'Dist. de l''état nutritionnel'!F$14)))</f>
        <v>0.76443428956668025</v>
      </c>
      <c r="G67" s="90">
        <f>IF(ISBLANK('Dist. de l''état nutritionnel'!G$14),0.92,(0.92*'Dist. de l''état nutritionnel'!G$14/(1-0.92*'Dist. de l''état nutritionnel'!G$14))
/ ('Dist. de l''état nutritionnel'!G$14/(1-'Dist. de l''état nutritionnel'!G$14)))</f>
        <v>0.76443428956668025</v>
      </c>
      <c r="H67" s="90">
        <f>IF(ISBLANK('Dist. de l''état nutritionnel'!H$14),0.92,(0.92*'Dist. de l''état nutritionnel'!H$14/(1-0.92*'Dist. de l''état nutritionnel'!H$14))
/ ('Dist. de l''état nutritionnel'!H$14/(1-'Dist. de l''état nutritionnel'!H$14)))</f>
        <v>0.84849632603590652</v>
      </c>
      <c r="I67" s="90">
        <f>IF(ISBLANK('Dist. de l''état nutritionnel'!I$14),0.92,(0.92*'Dist. de l''état nutritionnel'!I$14/(1-0.92*'Dist. de l''état nutritionnel'!I$14))
/ ('Dist. de l''état nutritionnel'!I$14/(1-'Dist. de l''état nutritionnel'!I$14)))</f>
        <v>0.84849632603590652</v>
      </c>
      <c r="J67" s="90">
        <f>IF(ISBLANK('Dist. de l''état nutritionnel'!J$14),0.92,(0.92*'Dist. de l''état nutritionnel'!J$14/(1-0.92*'Dist. de l''état nutritionnel'!J$14))
/ ('Dist. de l''état nutritionnel'!J$14/(1-'Dist. de l''état nutritionnel'!J$14)))</f>
        <v>0.84849632603590652</v>
      </c>
      <c r="K67" s="90">
        <f>IF(ISBLANK('Dist. de l''état nutritionnel'!K$14),0.92,(0.92*'Dist. de l''état nutritionnel'!K$14/(1-0.92*'Dist. de l''état nutritionnel'!K$14))
/ ('Dist. de l''état nutritionnel'!K$14/(1-'Dist. de l''état nutritionnel'!K$14)))</f>
        <v>0.84849632603590652</v>
      </c>
      <c r="L67" s="90">
        <f>IF(ISBLANK('Dist. de l''état nutritionnel'!L$14),0.92,(0.92*'Dist. de l''état nutritionnel'!L$14/(1-0.92*'Dist. de l''état nutritionnel'!L$14))
/ ('Dist. de l''état nutritionnel'!L$14/(1-'Dist. de l''état nutritionnel'!L$14)))</f>
        <v>0.84608280744959208</v>
      </c>
      <c r="M67" s="90">
        <f>IF(ISBLANK('Dist. de l''état nutritionnel'!M$14),0.92,(0.92*'Dist. de l''état nutritionnel'!M$14/(1-0.92*'Dist. de l''état nutritionnel'!M$14))
/ ('Dist. de l''état nutritionnel'!M$14/(1-'Dist. de l''état nutritionnel'!M$14)))</f>
        <v>0.84608280744959208</v>
      </c>
      <c r="N67" s="90">
        <f>IF(ISBLANK('Dist. de l''état nutritionnel'!N$14),0.92,(0.92*'Dist. de l''état nutritionnel'!N$14/(1-0.92*'Dist. de l''état nutritionnel'!N$14))
/ ('Dist. de l''état nutritionnel'!N$14/(1-'Dist. de l''état nutritionnel'!N$14)))</f>
        <v>0.84608280744959208</v>
      </c>
      <c r="O67" s="90">
        <f>IF(ISBLANK('Dist. de l''état nutritionnel'!O$14),0.92,(0.92*'Dist. de l''état nutritionnel'!O$14/(1-0.92*'Dist. de l''état nutritionnel'!O$14))
/ ('Dist. de l''état nutritionnel'!O$14/(1-'Dist. de l''état nutritionnel'!O$14)))</f>
        <v>0.84608280744959208</v>
      </c>
    </row>
  </sheetData>
  <sheetProtection algorithmName="SHA-512" hashValue="bDZvnsiSzMMPYOVoWrlGsX1DUHaRU1uD3rOmKJ5reOWDB/644IlsTT2mR9wiJ00bXy5Z0vaxXNZBAEbafOOM3A==" saltValue="ZdPAea67zRXG262Y3+iQq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ht="13" customHeight="1" x14ac:dyDescent="0.3">
      <c r="A2" s="4" t="s">
        <v>325</v>
      </c>
    </row>
    <row r="3" spans="1:7" ht="13.25" customHeight="1" x14ac:dyDescent="0.25">
      <c r="B3" s="11" t="s">
        <v>161</v>
      </c>
      <c r="C3" s="90">
        <v>1</v>
      </c>
      <c r="D3" s="90">
        <f>IF(ISBLANK('Dist. de l''état nutritionnel'!D$11),(1/1.33),((1/1.33)*'Dist. de l''état nutritionnel'!D$11/(1-(1/1.33)*'Dist. de l''état nutritionnel'!D$11))
/ ('Dist. de l''état nutritionnel'!D$11/(1-'Dist. de l''état nutritionnel'!D$11)))</f>
        <v>0.73945455983228392</v>
      </c>
      <c r="E3" s="90">
        <f>IF(ISBLANK('Dist. de l''état nutritionnel'!E$11),(1/1.33),((1/1.33)*'Dist. de l''état nutritionnel'!E$11/(1-(1/1.33)*'Dist. de l''état nutritionnel'!E$11))
/ ('Dist. de l''état nutritionnel'!E$11/(1-'Dist. de l''état nutritionnel'!E$11)))</f>
        <v>0.74279934489524324</v>
      </c>
      <c r="F3" s="90">
        <f>IF(ISBLANK('Dist. de l''état nutritionnel'!F$11),(1/1.33),((1/1.33)*'Dist. de l''état nutritionnel'!F$11/(1-(1/1.33)*'Dist. de l''état nutritionnel'!F$11))
/ ('Dist. de l''état nutritionnel'!F$11/(1-'Dist. de l''état nutritionnel'!F$11)))</f>
        <v>0.74785011104046428</v>
      </c>
      <c r="G3" s="90">
        <f>IF(ISBLANK('Dist. de l''état nutritionnel'!G$11),(1/1.33),((1/1.33)*'Dist. de l''état nutritionnel'!G$11/(1-(1/1.33)*'Dist. de l''état nutritionnel'!G$11))
/ ('Dist. de l''état nutritionnel'!G$11/(1-'Dist. de l''état nutritionnel'!G$11)))</f>
        <v>0.74946881420436684</v>
      </c>
    </row>
    <row r="4" spans="1:7" ht="13" customHeight="1" x14ac:dyDescent="0.3">
      <c r="A4" s="4" t="s">
        <v>326</v>
      </c>
      <c r="B4" s="11"/>
      <c r="C4" s="83"/>
      <c r="D4" s="83"/>
      <c r="E4" s="83"/>
      <c r="F4" s="83"/>
      <c r="G4" s="83"/>
    </row>
    <row r="5" spans="1:7" ht="13.25" customHeight="1" x14ac:dyDescent="0.25">
      <c r="B5" s="5" t="s">
        <v>165</v>
      </c>
      <c r="C5" s="90">
        <v>1</v>
      </c>
      <c r="D5" s="90">
        <f>IF(ISBLANK('Dist. de l''état nutritionnel'!D$10),(1/1.33),((1/1.33)*'Dist. de l''état nutritionnel'!D$10/(1-(1/1.33)*'Dist. de l''état nutritionnel'!D$10))
/ ('Dist. de l''état nutritionnel'!D$10/(1-'Dist. de l''état nutritionnel'!D$10)))</f>
        <v>0.73664005084178508</v>
      </c>
      <c r="E5" s="90">
        <f>IF(ISBLANK('Dist. de l''état nutritionnel'!E$10),(1/1.33),((1/1.33)*'Dist. de l''état nutritionnel'!E$10/(1-(1/1.33)*'Dist. de l''état nutritionnel'!E$10))
/ ('Dist. de l''état nutritionnel'!E$10/(1-'Dist. de l''état nutritionnel'!E$10)))</f>
        <v>0.73573885507083103</v>
      </c>
      <c r="F5" s="90">
        <f>IF(ISBLANK('Dist. de l''état nutritionnel'!F$10),(1/1.33),((1/1.33)*'Dist. de l''état nutritionnel'!F$10/(1-(1/1.33)*'Dist. de l''état nutritionnel'!F$10))
/ ('Dist. de l''état nutritionnel'!F$10/(1-'Dist. de l''état nutritionnel'!F$10)))</f>
        <v>0.74167646268424881</v>
      </c>
      <c r="G5" s="90">
        <f>IF(ISBLANK('Dist. de l''état nutritionnel'!G$10),(1/1.33),((1/1.33)*'Dist. de l''état nutritionnel'!G$10/(1-(1/1.33)*'Dist. de l''état nutritionnel'!G$10))
/ ('Dist. de l''état nutritionnel'!G$10/(1-'Dist. de l''état nutritionnel'!G$10)))</f>
        <v>0.74532318165241107</v>
      </c>
    </row>
    <row r="7" spans="1:7" s="92" customFormat="1" ht="13" customHeight="1" x14ac:dyDescent="0.3">
      <c r="A7" s="92" t="s">
        <v>331</v>
      </c>
    </row>
    <row r="8" spans="1:7" ht="13" customHeight="1" x14ac:dyDescent="0.3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ht="13" customHeight="1" x14ac:dyDescent="0.3">
      <c r="A9" s="4" t="s">
        <v>327</v>
      </c>
    </row>
    <row r="10" spans="1:7" ht="13.25" customHeight="1" x14ac:dyDescent="0.25">
      <c r="B10" s="11" t="s">
        <v>161</v>
      </c>
      <c r="C10" s="90">
        <v>1</v>
      </c>
      <c r="D10" s="90">
        <f>IF(ISBLANK('Dist. de l''état nutritionnel'!D$11),(1/1.54),((1/1.54)*'Dist. de l''état nutritionnel'!D$11/(1-(1/1.54)*'Dist. de l''état nutritionnel'!D$11))
/ ('Dist. de l''état nutritionnel'!D$11/(1-'Dist. de l''état nutritionnel'!D$11)))</f>
        <v>0.63428848621115663</v>
      </c>
      <c r="E10" s="90">
        <f>IF(ISBLANK('Dist. de l''état nutritionnel'!E$11),(1/1.54),((1/1.54)*'Dist. de l''état nutritionnel'!E$11/(1-(1/1.54)*'Dist. de l''état nutritionnel'!E$11))
/ ('Dist. de l''état nutritionnel'!E$11/(1-'Dist. de l''état nutritionnel'!E$11)))</f>
        <v>0.6383230107393979</v>
      </c>
      <c r="F10" s="90">
        <f>IF(ISBLANK('Dist. de l''état nutritionnel'!F$11),(1/1.54),((1/1.54)*'Dist. de l''état nutritionnel'!F$11/(1-(1/1.54)*'Dist. de l''état nutritionnel'!F$11))
/ ('Dist. de l''état nutritionnel'!F$11/(1-'Dist. de l''état nutritionnel'!F$11)))</f>
        <v>0.6444433607671054</v>
      </c>
      <c r="G10" s="90">
        <f>IF(ISBLANK('Dist. de l''état nutritionnel'!G$11),(1/1.54),((1/1.54)*'Dist. de l''état nutritionnel'!G$11/(1-(1/1.54)*'Dist. de l''état nutritionnel'!G$11))
/ ('Dist. de l''état nutritionnel'!G$11/(1-'Dist. de l''état nutritionnel'!G$11)))</f>
        <v>0.64641203153122406</v>
      </c>
    </row>
    <row r="11" spans="1:7" ht="13" customHeight="1" x14ac:dyDescent="0.3">
      <c r="A11" s="4" t="s">
        <v>328</v>
      </c>
      <c r="B11" s="11"/>
      <c r="C11" s="83"/>
      <c r="D11" s="83"/>
      <c r="E11" s="83"/>
      <c r="F11" s="83"/>
      <c r="G11" s="83"/>
    </row>
    <row r="12" spans="1:7" ht="13.25" customHeight="1" x14ac:dyDescent="0.25">
      <c r="B12" s="5" t="s">
        <v>165</v>
      </c>
      <c r="C12" s="90">
        <v>1</v>
      </c>
      <c r="D12" s="90">
        <f>IF(ISBLANK('Dist. de l''état nutritionnel'!D$10),(1/1.54),((1/1.54)*'Dist. de l''état nutritionnel'!D$10/(1-(1/1.54)*'Dist. de l''état nutritionnel'!D$10))
/ ('Dist. de l''état nutritionnel'!D$10/(1-'Dist. de l''état nutritionnel'!D$10)))</f>
        <v>0.63090498428732822</v>
      </c>
      <c r="E12" s="90">
        <f>IF(ISBLANK('Dist. de l''état nutritionnel'!E$10),(1/1.54),((1/1.54)*'Dist. de l''état nutritionnel'!E$10/(1-(1/1.54)*'Dist. de l''état nutritionnel'!E$10))
/ ('Dist. de l''état nutritionnel'!E$10/(1-'Dist. de l''état nutritionnel'!E$10)))</f>
        <v>0.62982379193278415</v>
      </c>
      <c r="F12" s="90">
        <f>IF(ISBLANK('Dist. de l''état nutritionnel'!F$10),(1/1.54),((1/1.54)*'Dist. de l''état nutritionnel'!F$10/(1-(1/1.54)*'Dist. de l''état nutritionnel'!F$10))
/ ('Dist. de l''état nutritionnel'!F$10/(1-'Dist. de l''état nutritionnel'!F$10)))</f>
        <v>0.63696693046465747</v>
      </c>
      <c r="G12" s="90">
        <f>IF(ISBLANK('Dist. de l''état nutritionnel'!G$10),(1/1.54),((1/1.54)*'Dist. de l''état nutritionnel'!G$10/(1-(1/1.54)*'Dist. de l''état nutritionnel'!G$10))
/ ('Dist. de l''état nutritionnel'!G$10/(1-'Dist. de l''état nutritionnel'!G$10)))</f>
        <v>0.64137707996153037</v>
      </c>
    </row>
    <row r="14" spans="1:7" s="92" customFormat="1" ht="13" customHeight="1" x14ac:dyDescent="0.3">
      <c r="A14" s="92" t="s">
        <v>332</v>
      </c>
    </row>
    <row r="15" spans="1:7" ht="13" customHeight="1" x14ac:dyDescent="0.3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ht="13" customHeight="1" x14ac:dyDescent="0.3">
      <c r="A16" s="4" t="s">
        <v>329</v>
      </c>
    </row>
    <row r="17" spans="1:7" ht="13.25" customHeight="1" x14ac:dyDescent="0.25">
      <c r="B17" s="11" t="s">
        <v>161</v>
      </c>
      <c r="C17" s="90">
        <v>1</v>
      </c>
      <c r="D17" s="90">
        <f>IF(ISBLANK('Dist. de l''état nutritionnel'!D$11),(1/1.16),((1/1.16)*'Dist. de l''état nutritionnel'!D$11/(1-(1/1.16)*'Dist. de l''état nutritionnel'!D$11))
/ ('Dist. de l''état nutritionnel'!D$11/(1-'Dist. de l''état nutritionnel'!D$11)))</f>
        <v>0.85409097335091355</v>
      </c>
      <c r="E17" s="90">
        <f>IF(ISBLANK('Dist. de l''état nutritionnel'!E$11),(1/1.16),((1/1.16)*'Dist. de l''état nutritionnel'!E$11/(1-(1/1.16)*'Dist. de l''état nutritionnel'!E$11))
/ ('Dist. de l''état nutritionnel'!E$11/(1-'Dist. de l''état nutritionnel'!E$11)))</f>
        <v>0.85625018923744045</v>
      </c>
      <c r="F17" s="90">
        <f>IF(ISBLANK('Dist. de l''état nutritionnel'!F$11),(1/1.16),((1/1.16)*'Dist. de l''état nutritionnel'!F$11/(1-(1/1.16)*'Dist. de l''état nutritionnel'!F$11))
/ ('Dist. de l''état nutritionnel'!F$11/(1-'Dist. de l''état nutritionnel'!F$11)))</f>
        <v>0.85949448923337268</v>
      </c>
      <c r="G17" s="90">
        <f>IF(ISBLANK('Dist. de l''état nutritionnel'!G$11),(1/1.16),((1/1.16)*'Dist. de l''état nutritionnel'!G$11/(1-(1/1.16)*'Dist. de l''état nutritionnel'!G$11))
/ ('Dist. de l''état nutritionnel'!G$11/(1-'Dist. de l''état nutritionnel'!G$11)))</f>
        <v>0.86053014234245762</v>
      </c>
    </row>
    <row r="18" spans="1:7" ht="13" customHeight="1" x14ac:dyDescent="0.3">
      <c r="A18" s="4" t="s">
        <v>330</v>
      </c>
      <c r="B18" s="11"/>
      <c r="C18" s="83"/>
      <c r="D18" s="83"/>
      <c r="E18" s="83"/>
      <c r="F18" s="83"/>
      <c r="G18" s="83"/>
    </row>
    <row r="19" spans="1:7" ht="13.25" customHeight="1" x14ac:dyDescent="0.25">
      <c r="B19" s="5" t="s">
        <v>165</v>
      </c>
      <c r="C19" s="90">
        <v>1</v>
      </c>
      <c r="D19" s="90">
        <f>IF(ISBLANK('Dist. de l''état nutritionnel'!D$10),(1/1.16),((1/1.16)*'Dist. de l''état nutritionnel'!D$10/(1-(1/1.16)*'Dist. de l''état nutritionnel'!D$10))
/ ('Dist. de l''état nutritionnel'!D$10/(1-'Dist. de l''état nutritionnel'!D$10)))</f>
        <v>0.85226740571623127</v>
      </c>
      <c r="E19" s="90">
        <f>IF(ISBLANK('Dist. de l''état nutritionnel'!E$10),(1/1.16),((1/1.16)*'Dist. de l''état nutritionnel'!E$10/(1-(1/1.16)*'Dist. de l''état nutritionnel'!E$10))
/ ('Dist. de l''état nutritionnel'!E$10/(1-'Dist. de l''état nutritionnel'!E$10)))</f>
        <v>0.85168221203996086</v>
      </c>
      <c r="F19" s="90">
        <f>IF(ISBLANK('Dist. de l''état nutritionnel'!F$10),(1/1.16),((1/1.16)*'Dist. de l''état nutritionnel'!F$10/(1-(1/1.16)*'Dist. de l''état nutritionnel'!F$10))
/ ('Dist. de l''état nutritionnel'!F$10/(1-'Dist. de l''état nutritionnel'!F$10)))</f>
        <v>0.85552627308441098</v>
      </c>
      <c r="G19" s="90">
        <f>IF(ISBLANK('Dist. de l''état nutritionnel'!G$10),(1/1.16),((1/1.16)*'Dist. de l''état nutritionnel'!G$10/(1-(1/1.16)*'Dist. de l''état nutritionnel'!G$10))
/ ('Dist. de l''état nutritionnel'!G$10/(1-'Dist. de l''état nutritionnel'!G$10)))</f>
        <v>0.85787377500222417</v>
      </c>
    </row>
  </sheetData>
  <sheetProtection algorithmName="SHA-512" hashValue="h7T9wHvUhKaunRi+vt58wOLMJEmt/SEJWTSSfssxgVd8KU3Sl5TztyJpFWRYL2B8Rlqxu5qqBe5/THGJHHj7jw==" saltValue="UiKYOQmO7CclHITo7Gblh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80" zoomScaleNormal="80" workbookViewId="0">
      <selection activeCell="E28" sqref="E28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ht="13.25" customHeight="1" x14ac:dyDescent="0.25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ht="13.25" customHeight="1" x14ac:dyDescent="0.25">
      <c r="C3" s="5" t="s">
        <v>335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ht="13.25" customHeight="1" x14ac:dyDescent="0.25">
      <c r="C4" s="5" t="s">
        <v>336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ht="13.25" customHeight="1" x14ac:dyDescent="0.25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ht="13.25" customHeight="1" x14ac:dyDescent="0.25">
      <c r="C6" s="5" t="s">
        <v>336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ht="13.25" customHeight="1" x14ac:dyDescent="0.25">
      <c r="B7" s="5" t="s">
        <v>209</v>
      </c>
      <c r="C7" s="5" t="s">
        <v>334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ht="13.25" customHeight="1" x14ac:dyDescent="0.25">
      <c r="C8" s="5" t="s">
        <v>336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ht="13.25" customHeight="1" x14ac:dyDescent="0.25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ht="13.25" customHeight="1" x14ac:dyDescent="0.25">
      <c r="C10" s="5" t="s">
        <v>336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ht="13.25" customHeight="1" x14ac:dyDescent="0.25">
      <c r="B11" s="5" t="s">
        <v>209</v>
      </c>
      <c r="C11" s="5" t="s">
        <v>334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ht="13.25" customHeight="1" x14ac:dyDescent="0.25">
      <c r="C12" s="5" t="s">
        <v>336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ht="13.25" customHeight="1" x14ac:dyDescent="0.25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ht="13.25" customHeight="1" x14ac:dyDescent="0.25">
      <c r="C14" s="5" t="s">
        <v>336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ht="13.25" customHeight="1" x14ac:dyDescent="0.25">
      <c r="B15" s="5" t="s">
        <v>209</v>
      </c>
      <c r="C15" s="5" t="s">
        <v>334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ht="13.25" customHeight="1" x14ac:dyDescent="0.25">
      <c r="C16" s="5" t="s">
        <v>336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ht="13.25" customHeight="1" x14ac:dyDescent="0.25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ht="13.25" customHeight="1" x14ac:dyDescent="0.25">
      <c r="C18" s="5" t="s">
        <v>336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ht="13.25" customHeight="1" x14ac:dyDescent="0.25">
      <c r="B19" s="5" t="s">
        <v>209</v>
      </c>
      <c r="C19" s="5" t="s">
        <v>334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ht="13.25" customHeight="1" x14ac:dyDescent="0.25">
      <c r="C20" s="5" t="s">
        <v>336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ht="13.25" customHeight="1" x14ac:dyDescent="0.25">
      <c r="A21" s="5" t="s">
        <v>175</v>
      </c>
      <c r="B21" s="5" t="s">
        <v>84</v>
      </c>
      <c r="C21" s="5" t="s">
        <v>334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ht="13.25" customHeight="1" x14ac:dyDescent="0.25">
      <c r="C22" s="5" t="s">
        <v>335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ht="13.25" customHeight="1" x14ac:dyDescent="0.25">
      <c r="A23" s="5" t="s">
        <v>173</v>
      </c>
      <c r="B23" s="5" t="s">
        <v>84</v>
      </c>
      <c r="C23" s="5" t="s">
        <v>334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ht="13.25" customHeight="1" x14ac:dyDescent="0.25">
      <c r="C24" s="5" t="s">
        <v>335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ht="13.25" customHeight="1" x14ac:dyDescent="0.25">
      <c r="A25" s="5" t="s">
        <v>174</v>
      </c>
      <c r="B25" s="5" t="s">
        <v>84</v>
      </c>
      <c r="C25" s="5" t="s">
        <v>334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ht="13.25" customHeight="1" x14ac:dyDescent="0.25">
      <c r="C26" s="5" t="s">
        <v>335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ht="13.25" customHeight="1" x14ac:dyDescent="0.25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ht="13.25" customHeight="1" x14ac:dyDescent="0.25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ht="13.25" customHeight="1" x14ac:dyDescent="0.25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ht="13.25" customHeight="1" x14ac:dyDescent="0.25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ht="13.25" customHeight="1" x14ac:dyDescent="0.25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ht="13.25" customHeight="1" x14ac:dyDescent="0.25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ht="13.25" customHeight="1" x14ac:dyDescent="0.25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ht="13.25" customHeight="1" x14ac:dyDescent="0.25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ht="13.25" customHeight="1" x14ac:dyDescent="0.25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ht="13.25" customHeight="1" x14ac:dyDescent="0.25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ht="13.25" customHeight="1" x14ac:dyDescent="0.25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ht="13.25" customHeight="1" x14ac:dyDescent="0.25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ht="13.25" customHeight="1" x14ac:dyDescent="0.25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ht="13.25" customHeight="1" x14ac:dyDescent="0.25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ht="13.25" customHeight="1" x14ac:dyDescent="0.25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ht="13.25" customHeight="1" x14ac:dyDescent="0.25">
      <c r="A42" s="5" t="s">
        <v>200</v>
      </c>
      <c r="B42" s="5" t="s">
        <v>87</v>
      </c>
      <c r="C42" s="5" t="s">
        <v>334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ht="13.25" customHeight="1" x14ac:dyDescent="0.25">
      <c r="C43" s="5" t="s">
        <v>335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ht="13.25" customHeight="1" x14ac:dyDescent="0.25">
      <c r="C44" s="5" t="s">
        <v>336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ht="13.25" customHeight="1" x14ac:dyDescent="0.25">
      <c r="B45" s="5" t="s">
        <v>88</v>
      </c>
      <c r="C45" s="5" t="s">
        <v>334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ht="13.25" customHeight="1" x14ac:dyDescent="0.25">
      <c r="C46" s="5" t="s">
        <v>335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ht="13.25" customHeight="1" x14ac:dyDescent="0.25">
      <c r="C47" s="5" t="s">
        <v>336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ht="13.25" customHeight="1" x14ac:dyDescent="0.25">
      <c r="A48" s="5" t="s">
        <v>191</v>
      </c>
      <c r="B48" s="5" t="s">
        <v>87</v>
      </c>
      <c r="C48" s="5" t="s">
        <v>334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ht="13.25" customHeight="1" x14ac:dyDescent="0.25">
      <c r="C49" s="5" t="s">
        <v>335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ht="13.25" customHeight="1" x14ac:dyDescent="0.25">
      <c r="A50" s="5" t="s">
        <v>199</v>
      </c>
      <c r="B50" s="5" t="s">
        <v>87</v>
      </c>
      <c r="C50" s="5" t="s">
        <v>334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ht="13.25" customHeight="1" x14ac:dyDescent="0.25">
      <c r="C51" s="5" t="s">
        <v>335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ht="13.25" customHeight="1" x14ac:dyDescent="0.25">
      <c r="A52" s="5" t="s">
        <v>184</v>
      </c>
      <c r="B52" s="5" t="s">
        <v>82</v>
      </c>
      <c r="C52" s="5" t="s">
        <v>334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ht="13.25" customHeight="1" x14ac:dyDescent="0.25">
      <c r="C53" s="5" t="s">
        <v>335</v>
      </c>
      <c r="D53" s="90">
        <v>0.51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331</v>
      </c>
      <c r="B55" s="97"/>
      <c r="C55" s="97"/>
    </row>
    <row r="56" spans="1:8" ht="13" customHeight="1" x14ac:dyDescent="0.3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ht="13.25" customHeight="1" x14ac:dyDescent="0.25">
      <c r="A57" s="5" t="s">
        <v>193</v>
      </c>
      <c r="B57" s="5" t="s">
        <v>87</v>
      </c>
      <c r="C57" s="5" t="s">
        <v>334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ht="13.25" customHeight="1" x14ac:dyDescent="0.25">
      <c r="C58" s="5" t="s">
        <v>335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ht="13.25" customHeight="1" x14ac:dyDescent="0.25">
      <c r="C59" s="5" t="s">
        <v>336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ht="13.25" customHeight="1" x14ac:dyDescent="0.25">
      <c r="A60" s="5" t="s">
        <v>192</v>
      </c>
      <c r="B60" s="5" t="s">
        <v>208</v>
      </c>
      <c r="C60" s="5" t="s">
        <v>334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ht="13.25" customHeight="1" x14ac:dyDescent="0.25">
      <c r="C61" s="5" t="s">
        <v>336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ht="13.25" customHeight="1" x14ac:dyDescent="0.25">
      <c r="B62" s="5" t="s">
        <v>209</v>
      </c>
      <c r="C62" s="5" t="s">
        <v>334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ht="13.25" customHeight="1" x14ac:dyDescent="0.25">
      <c r="C63" s="5" t="s">
        <v>336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ht="13.25" customHeight="1" x14ac:dyDescent="0.25">
      <c r="A64" s="5" t="s">
        <v>185</v>
      </c>
      <c r="B64" s="5" t="s">
        <v>208</v>
      </c>
      <c r="C64" s="5" t="s">
        <v>334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ht="13.25" customHeight="1" x14ac:dyDescent="0.25">
      <c r="C65" s="5" t="s">
        <v>336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ht="13.25" customHeight="1" x14ac:dyDescent="0.25">
      <c r="B66" s="5" t="s">
        <v>209</v>
      </c>
      <c r="C66" s="5" t="s">
        <v>334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ht="13.25" customHeight="1" x14ac:dyDescent="0.25">
      <c r="C67" s="5" t="s">
        <v>336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ht="13.25" customHeight="1" x14ac:dyDescent="0.25">
      <c r="A68" s="5" t="s">
        <v>205</v>
      </c>
      <c r="B68" s="5" t="s">
        <v>208</v>
      </c>
      <c r="C68" s="5" t="s">
        <v>334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ht="13.25" customHeight="1" x14ac:dyDescent="0.25">
      <c r="C69" s="5" t="s">
        <v>336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ht="13.25" customHeight="1" x14ac:dyDescent="0.25">
      <c r="B70" s="5" t="s">
        <v>209</v>
      </c>
      <c r="C70" s="5" t="s">
        <v>334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ht="13.25" customHeight="1" x14ac:dyDescent="0.25">
      <c r="C71" s="5" t="s">
        <v>336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ht="13.25" customHeight="1" x14ac:dyDescent="0.25">
      <c r="A72" s="5" t="s">
        <v>170</v>
      </c>
      <c r="B72" s="5" t="s">
        <v>208</v>
      </c>
      <c r="C72" s="5" t="s">
        <v>334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ht="13.25" customHeight="1" x14ac:dyDescent="0.25">
      <c r="C73" s="5" t="s">
        <v>336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209</v>
      </c>
      <c r="C74" s="5" t="s">
        <v>334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336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175</v>
      </c>
      <c r="B76" s="5" t="s">
        <v>84</v>
      </c>
      <c r="C76" s="5" t="s">
        <v>334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335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173</v>
      </c>
      <c r="B78" s="5" t="s">
        <v>84</v>
      </c>
      <c r="C78" s="5" t="s">
        <v>334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335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174</v>
      </c>
      <c r="B80" s="5" t="s">
        <v>84</v>
      </c>
      <c r="C80" s="5" t="s">
        <v>334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335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197</v>
      </c>
      <c r="B82" s="5" t="s">
        <v>87</v>
      </c>
      <c r="C82" s="5" t="s">
        <v>334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335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336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198</v>
      </c>
      <c r="B85" s="5" t="s">
        <v>87</v>
      </c>
      <c r="C85" s="5" t="s">
        <v>334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335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336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196</v>
      </c>
      <c r="B88" s="5" t="s">
        <v>87</v>
      </c>
      <c r="C88" s="5" t="s">
        <v>334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335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336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195</v>
      </c>
      <c r="B91" s="5" t="s">
        <v>87</v>
      </c>
      <c r="C91" s="5" t="s">
        <v>334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335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336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194</v>
      </c>
      <c r="B94" s="5" t="s">
        <v>87</v>
      </c>
      <c r="C94" s="5" t="s">
        <v>334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335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336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200</v>
      </c>
      <c r="B97" s="5" t="s">
        <v>87</v>
      </c>
      <c r="C97" s="5" t="s">
        <v>334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335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336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88</v>
      </c>
      <c r="C100" s="5" t="s">
        <v>334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335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336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191</v>
      </c>
      <c r="B103" s="5" t="s">
        <v>87</v>
      </c>
      <c r="C103" s="5" t="s">
        <v>334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335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199</v>
      </c>
      <c r="B105" s="5" t="s">
        <v>87</v>
      </c>
      <c r="C105" s="5" t="s">
        <v>334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335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184</v>
      </c>
      <c r="B107" s="5" t="s">
        <v>82</v>
      </c>
      <c r="C107" s="5" t="s">
        <v>334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335</v>
      </c>
      <c r="D108" s="90">
        <v>0.18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332</v>
      </c>
      <c r="B110" s="97"/>
      <c r="C110" s="97"/>
    </row>
    <row r="111" spans="1:8" ht="13" customHeight="1" x14ac:dyDescent="0.3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5">
      <c r="A112" s="5" t="s">
        <v>193</v>
      </c>
      <c r="B112" s="5" t="s">
        <v>87</v>
      </c>
      <c r="C112" s="5" t="s">
        <v>334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335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336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192</v>
      </c>
      <c r="B115" s="5" t="s">
        <v>208</v>
      </c>
      <c r="C115" s="5" t="s">
        <v>334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336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209</v>
      </c>
      <c r="C117" s="5" t="s">
        <v>334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336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185</v>
      </c>
      <c r="B119" s="5" t="s">
        <v>208</v>
      </c>
      <c r="C119" s="5" t="s">
        <v>334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336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209</v>
      </c>
      <c r="C121" s="5" t="s">
        <v>334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336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205</v>
      </c>
      <c r="B123" s="5" t="s">
        <v>208</v>
      </c>
      <c r="C123" s="5" t="s">
        <v>334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336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209</v>
      </c>
      <c r="C125" s="5" t="s">
        <v>334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336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170</v>
      </c>
      <c r="B127" s="5" t="s">
        <v>208</v>
      </c>
      <c r="C127" s="5" t="s">
        <v>334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336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209</v>
      </c>
      <c r="C129" s="5" t="s">
        <v>334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336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175</v>
      </c>
      <c r="B131" s="5" t="s">
        <v>84</v>
      </c>
      <c r="C131" s="5" t="s">
        <v>334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335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173</v>
      </c>
      <c r="B133" s="5" t="s">
        <v>84</v>
      </c>
      <c r="C133" s="5" t="s">
        <v>334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335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174</v>
      </c>
      <c r="B135" s="5" t="s">
        <v>84</v>
      </c>
      <c r="C135" s="5" t="s">
        <v>334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335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197</v>
      </c>
      <c r="B137" s="5" t="s">
        <v>87</v>
      </c>
      <c r="C137" s="5" t="s">
        <v>334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335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336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198</v>
      </c>
      <c r="B140" s="5" t="s">
        <v>87</v>
      </c>
      <c r="C140" s="5" t="s">
        <v>334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335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336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196</v>
      </c>
      <c r="B143" s="5" t="s">
        <v>87</v>
      </c>
      <c r="C143" s="5" t="s">
        <v>334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335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336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195</v>
      </c>
      <c r="B146" s="5" t="s">
        <v>87</v>
      </c>
      <c r="C146" s="5" t="s">
        <v>334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335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336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194</v>
      </c>
      <c r="B149" s="5" t="s">
        <v>87</v>
      </c>
      <c r="C149" s="5" t="s">
        <v>334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335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336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200</v>
      </c>
      <c r="B152" s="5" t="s">
        <v>87</v>
      </c>
      <c r="C152" s="5" t="s">
        <v>334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335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336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88</v>
      </c>
      <c r="C155" s="5" t="s">
        <v>334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335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336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191</v>
      </c>
      <c r="B158" s="5" t="s">
        <v>87</v>
      </c>
      <c r="C158" s="5" t="s">
        <v>334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335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199</v>
      </c>
      <c r="B160" s="5" t="s">
        <v>87</v>
      </c>
      <c r="C160" s="5" t="s">
        <v>334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335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184</v>
      </c>
      <c r="B162" s="5" t="s">
        <v>82</v>
      </c>
      <c r="C162" s="5" t="s">
        <v>334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335</v>
      </c>
      <c r="D163" s="90">
        <v>0.71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CFFO8ObOr0TQluce8r/wv6Tv5hZB3G91Ml7bh32f6pANAUl2ey+yMaXrNUb79mHhuiGXzU6ltBt6PhvYqsLC5A==" saltValue="Z+ltX+K3iuPC1RoCaQpGe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D2" sqref="D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ht="13.25" customHeight="1" x14ac:dyDescent="0.25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ht="13.25" customHeight="1" x14ac:dyDescent="0.25">
      <c r="C3" s="8" t="s">
        <v>335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ht="13.25" customHeight="1" x14ac:dyDescent="0.25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ht="13.25" customHeight="1" x14ac:dyDescent="0.25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ht="13.25" customHeight="1" x14ac:dyDescent="0.25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ht="13.25" customHeight="1" x14ac:dyDescent="0.25">
      <c r="C7" s="8" t="s">
        <v>335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331</v>
      </c>
    </row>
    <row r="10" spans="1:8" ht="13" customHeight="1" x14ac:dyDescent="0.3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ht="13.25" customHeight="1" x14ac:dyDescent="0.25">
      <c r="A11" s="3" t="s">
        <v>169</v>
      </c>
      <c r="B11" s="8" t="s">
        <v>104</v>
      </c>
      <c r="C11" s="3" t="s">
        <v>334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ht="13.25" customHeight="1" x14ac:dyDescent="0.25">
      <c r="C12" s="8" t="s">
        <v>335</v>
      </c>
      <c r="D12" s="90">
        <v>0</v>
      </c>
      <c r="E12" s="90">
        <v>0</v>
      </c>
      <c r="F12" s="90">
        <v>0</v>
      </c>
      <c r="G12" s="90">
        <v>0</v>
      </c>
    </row>
    <row r="13" spans="1:8" ht="13.25" customHeight="1" x14ac:dyDescent="0.25">
      <c r="A13" s="3" t="s">
        <v>188</v>
      </c>
      <c r="B13" s="8" t="s">
        <v>104</v>
      </c>
      <c r="C13" s="3" t="s">
        <v>334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ht="13.25" customHeight="1" x14ac:dyDescent="0.25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ht="13.25" customHeight="1" x14ac:dyDescent="0.25">
      <c r="A15" s="3" t="s">
        <v>187</v>
      </c>
      <c r="B15" s="8" t="s">
        <v>104</v>
      </c>
      <c r="C15" s="3" t="s">
        <v>334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ht="13.25" customHeight="1" x14ac:dyDescent="0.25">
      <c r="C16" s="8" t="s">
        <v>335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332</v>
      </c>
    </row>
    <row r="19" spans="1:7" ht="13" customHeight="1" x14ac:dyDescent="0.3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ht="13.25" customHeight="1" x14ac:dyDescent="0.25">
      <c r="A20" s="3" t="s">
        <v>169</v>
      </c>
      <c r="B20" s="8" t="s">
        <v>104</v>
      </c>
      <c r="C20" s="3" t="s">
        <v>334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ht="13.25" customHeight="1" x14ac:dyDescent="0.25">
      <c r="C21" s="8" t="s">
        <v>335</v>
      </c>
      <c r="D21" s="90">
        <v>0.98</v>
      </c>
      <c r="E21" s="90">
        <v>0.98</v>
      </c>
      <c r="F21" s="90">
        <v>0.98</v>
      </c>
      <c r="G21" s="90">
        <v>0.98</v>
      </c>
    </row>
    <row r="22" spans="1:7" ht="13.25" customHeight="1" x14ac:dyDescent="0.25">
      <c r="A22" s="3" t="s">
        <v>188</v>
      </c>
      <c r="B22" s="8" t="s">
        <v>104</v>
      </c>
      <c r="C22" s="3" t="s">
        <v>334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ht="13.25" customHeight="1" x14ac:dyDescent="0.25">
      <c r="C23" s="8" t="s">
        <v>335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ht="13.25" customHeight="1" x14ac:dyDescent="0.25">
      <c r="A24" s="3" t="s">
        <v>187</v>
      </c>
      <c r="B24" s="8" t="s">
        <v>104</v>
      </c>
      <c r="C24" s="3" t="s">
        <v>334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ht="13.25" customHeight="1" x14ac:dyDescent="0.25">
      <c r="C25" s="8" t="s">
        <v>335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5dDyfJkt/9oJ8P55PcnV9MX2380buCfKNtgCzT/rHGqkpNMY5ItI+tRFcy31M0F8wtKHQzxJtU4tTvJj2odWsg==" saltValue="bZZeNWs6/Q2VIIfOBnHqQg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3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5">
      <c r="B3" s="19" t="s">
        <v>78</v>
      </c>
      <c r="C3" s="55">
        <v>1.2632318123918551E-2</v>
      </c>
    </row>
    <row r="4" spans="1:8" ht="15.75" customHeight="1" x14ac:dyDescent="0.25">
      <c r="B4" s="19" t="s">
        <v>79</v>
      </c>
      <c r="C4" s="101">
        <v>0.15468648780443101</v>
      </c>
    </row>
    <row r="5" spans="1:8" ht="15.75" customHeight="1" x14ac:dyDescent="0.25">
      <c r="B5" s="19" t="s">
        <v>80</v>
      </c>
      <c r="C5" s="101">
        <v>6.3245920765827357E-2</v>
      </c>
    </row>
    <row r="6" spans="1:8" ht="15.75" customHeight="1" x14ac:dyDescent="0.25">
      <c r="B6" s="19" t="s">
        <v>81</v>
      </c>
      <c r="C6" s="101">
        <v>0.22054963089059751</v>
      </c>
    </row>
    <row r="7" spans="1:8" ht="15.75" customHeight="1" x14ac:dyDescent="0.25">
      <c r="B7" s="19" t="s">
        <v>82</v>
      </c>
      <c r="C7" s="101">
        <v>0.36138163848105281</v>
      </c>
    </row>
    <row r="8" spans="1:8" ht="15.75" customHeight="1" x14ac:dyDescent="0.25">
      <c r="B8" s="19" t="s">
        <v>83</v>
      </c>
      <c r="C8" s="101">
        <v>2.5383001996065011E-2</v>
      </c>
    </row>
    <row r="9" spans="1:8" ht="15.75" customHeight="1" x14ac:dyDescent="0.25">
      <c r="B9" s="19" t="s">
        <v>84</v>
      </c>
      <c r="C9" s="101">
        <v>6.1954909856389608E-2</v>
      </c>
    </row>
    <row r="10" spans="1:8" ht="15.75" customHeight="1" x14ac:dyDescent="0.25">
      <c r="B10" s="19" t="s">
        <v>85</v>
      </c>
      <c r="C10" s="101">
        <v>0.1001660920817183</v>
      </c>
    </row>
    <row r="11" spans="1:8" ht="15.75" customHeight="1" x14ac:dyDescent="0.25">
      <c r="B11" s="27" t="s">
        <v>41</v>
      </c>
      <c r="C11" s="48">
        <f>SUM(C3:C10)</f>
        <v>1.0000000000000002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86</v>
      </c>
      <c r="B13" s="29" t="s">
        <v>1</v>
      </c>
      <c r="C13" s="102" t="s">
        <v>96</v>
      </c>
      <c r="D13" s="102" t="s">
        <v>97</v>
      </c>
      <c r="E13" s="102" t="s">
        <v>98</v>
      </c>
      <c r="F13" s="102" t="s">
        <v>99</v>
      </c>
      <c r="G13" s="19"/>
    </row>
    <row r="14" spans="1:8" ht="15.75" customHeight="1" x14ac:dyDescent="0.25">
      <c r="B14" s="19" t="s">
        <v>87</v>
      </c>
      <c r="C14" s="55">
        <v>0.1819966669694566</v>
      </c>
      <c r="D14" s="55">
        <v>0.1819966669694566</v>
      </c>
      <c r="E14" s="55">
        <v>0.1819966669694566</v>
      </c>
      <c r="F14" s="55">
        <v>0.1819966669694566</v>
      </c>
    </row>
    <row r="15" spans="1:8" ht="15.75" customHeight="1" x14ac:dyDescent="0.25">
      <c r="B15" s="19" t="s">
        <v>88</v>
      </c>
      <c r="C15" s="101">
        <v>0.2561052660732222</v>
      </c>
      <c r="D15" s="101">
        <v>0.2561052660732222</v>
      </c>
      <c r="E15" s="101">
        <v>0.2561052660732222</v>
      </c>
      <c r="F15" s="101">
        <v>0.2561052660732222</v>
      </c>
    </row>
    <row r="16" spans="1:8" ht="15.75" customHeight="1" x14ac:dyDescent="0.25">
      <c r="B16" s="19" t="s">
        <v>89</v>
      </c>
      <c r="C16" s="101">
        <v>2.582355586385671E-2</v>
      </c>
      <c r="D16" s="101">
        <v>2.582355586385671E-2</v>
      </c>
      <c r="E16" s="101">
        <v>2.582355586385671E-2</v>
      </c>
      <c r="F16" s="101">
        <v>2.582355586385671E-2</v>
      </c>
    </row>
    <row r="17" spans="1:8" ht="15.75" customHeight="1" x14ac:dyDescent="0.25">
      <c r="B17" s="19" t="s">
        <v>90</v>
      </c>
      <c r="C17" s="101">
        <v>3.3348458457574122E-2</v>
      </c>
      <c r="D17" s="101">
        <v>3.3348458457574122E-2</v>
      </c>
      <c r="E17" s="101">
        <v>3.3348458457574122E-2</v>
      </c>
      <c r="F17" s="101">
        <v>3.3348458457574122E-2</v>
      </c>
    </row>
    <row r="18" spans="1:8" ht="15.75" customHeight="1" x14ac:dyDescent="0.25">
      <c r="B18" s="19" t="s">
        <v>91</v>
      </c>
      <c r="C18" s="101">
        <v>1.6983176020919401E-3</v>
      </c>
      <c r="D18" s="101">
        <v>1.6983176020919401E-3</v>
      </c>
      <c r="E18" s="101">
        <v>1.6983176020919401E-3</v>
      </c>
      <c r="F18" s="101">
        <v>1.6983176020919401E-3</v>
      </c>
    </row>
    <row r="19" spans="1:8" ht="15.75" customHeight="1" x14ac:dyDescent="0.25">
      <c r="B19" s="19" t="s">
        <v>92</v>
      </c>
      <c r="C19" s="101">
        <v>3.7124479421282351E-2</v>
      </c>
      <c r="D19" s="101">
        <v>3.7124479421282351E-2</v>
      </c>
      <c r="E19" s="101">
        <v>3.7124479421282351E-2</v>
      </c>
      <c r="F19" s="101">
        <v>3.7124479421282351E-2</v>
      </c>
    </row>
    <row r="20" spans="1:8" ht="15.75" customHeight="1" x14ac:dyDescent="0.25">
      <c r="B20" s="19" t="s">
        <v>93</v>
      </c>
      <c r="C20" s="101">
        <v>3.5319826375232468E-3</v>
      </c>
      <c r="D20" s="101">
        <v>3.5319826375232468E-3</v>
      </c>
      <c r="E20" s="101">
        <v>3.5319826375232468E-3</v>
      </c>
      <c r="F20" s="101">
        <v>3.5319826375232468E-3</v>
      </c>
    </row>
    <row r="21" spans="1:8" ht="15.75" customHeight="1" x14ac:dyDescent="0.25">
      <c r="B21" s="19" t="s">
        <v>94</v>
      </c>
      <c r="C21" s="101">
        <v>0.1194835851410818</v>
      </c>
      <c r="D21" s="101">
        <v>0.1194835851410818</v>
      </c>
      <c r="E21" s="101">
        <v>0.1194835851410818</v>
      </c>
      <c r="F21" s="101">
        <v>0.1194835851410818</v>
      </c>
    </row>
    <row r="22" spans="1:8" ht="15.75" customHeight="1" x14ac:dyDescent="0.25">
      <c r="B22" s="19" t="s">
        <v>95</v>
      </c>
      <c r="C22" s="101">
        <v>0.34088768783391099</v>
      </c>
      <c r="D22" s="101">
        <v>0.34088768783391099</v>
      </c>
      <c r="E22" s="101">
        <v>0.34088768783391099</v>
      </c>
      <c r="F22" s="101">
        <v>0.34088768783391099</v>
      </c>
    </row>
    <row r="23" spans="1:8" ht="15.75" customHeight="1" x14ac:dyDescent="0.25">
      <c r="B23" s="27" t="s">
        <v>41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101</v>
      </c>
      <c r="C26" s="55">
        <v>5.2819977999999997E-2</v>
      </c>
    </row>
    <row r="27" spans="1:8" ht="15.75" customHeight="1" x14ac:dyDescent="0.25">
      <c r="B27" s="19" t="s">
        <v>102</v>
      </c>
      <c r="C27" s="101">
        <v>7.1861679999999997E-3</v>
      </c>
    </row>
    <row r="28" spans="1:8" ht="15.75" customHeight="1" x14ac:dyDescent="0.25">
      <c r="B28" s="19" t="s">
        <v>103</v>
      </c>
      <c r="C28" s="101">
        <v>0.250016285</v>
      </c>
    </row>
    <row r="29" spans="1:8" ht="15.75" customHeight="1" x14ac:dyDescent="0.25">
      <c r="B29" s="19" t="s">
        <v>104</v>
      </c>
      <c r="C29" s="101">
        <v>9.3256678999999995E-2</v>
      </c>
    </row>
    <row r="30" spans="1:8" ht="15.75" customHeight="1" x14ac:dyDescent="0.25">
      <c r="B30" s="19" t="s">
        <v>2</v>
      </c>
      <c r="C30" s="101">
        <v>0.12997281799999999</v>
      </c>
    </row>
    <row r="31" spans="1:8" ht="15.75" customHeight="1" x14ac:dyDescent="0.25">
      <c r="B31" s="19" t="s">
        <v>105</v>
      </c>
      <c r="C31" s="101">
        <v>6.0292912999999997E-2</v>
      </c>
    </row>
    <row r="32" spans="1:8" ht="15.75" customHeight="1" x14ac:dyDescent="0.25">
      <c r="B32" s="19" t="s">
        <v>106</v>
      </c>
      <c r="C32" s="101">
        <v>6.2887368999999999E-2</v>
      </c>
    </row>
    <row r="33" spans="2:3" ht="15.75" customHeight="1" x14ac:dyDescent="0.25">
      <c r="B33" s="19" t="s">
        <v>107</v>
      </c>
      <c r="C33" s="101">
        <v>0.164273895</v>
      </c>
    </row>
    <row r="34" spans="2:3" ht="15.75" customHeight="1" x14ac:dyDescent="0.25">
      <c r="B34" s="19" t="s">
        <v>108</v>
      </c>
      <c r="C34" s="101">
        <v>0.17929389600000001</v>
      </c>
    </row>
    <row r="35" spans="2:3" ht="15.75" customHeight="1" x14ac:dyDescent="0.25">
      <c r="B35" s="27" t="s">
        <v>41</v>
      </c>
      <c r="C35" s="48">
        <f>SUM(C26:C34)</f>
        <v>1.0000000010000001</v>
      </c>
    </row>
  </sheetData>
  <sheetProtection algorithmName="SHA-512" hashValue="oAT6lL0Duj6iNVdKy4kYOfMEdwpmO7u2drQHFH98gA+t9Jkd0FKEJW8Dv+5XA05GhS2MY9HbWP5hVzBN6xC3Zw==" saltValue="h37nu93SwwhzySeCPNnnu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5">
      <c r="A2" s="3" t="s">
        <v>111</v>
      </c>
      <c r="B2" s="5" t="s">
        <v>112</v>
      </c>
      <c r="C2" s="52">
        <f>IFERROR(1-_xlfn.NORM.DIST(_xlfn.NORM.INV(SUM(C4:C5), 0, 1) + 1, 0, 1, TRUE), "")</f>
        <v>0.41151213227063788</v>
      </c>
      <c r="D2" s="52">
        <f>IFERROR(1-_xlfn.NORM.DIST(_xlfn.NORM.INV(SUM(D4:D5), 0, 1) + 1, 0, 1, TRUE), "")</f>
        <v>0.41151213227063788</v>
      </c>
      <c r="E2" s="52">
        <f>IFERROR(1-_xlfn.NORM.DIST(_xlfn.NORM.INV(SUM(E4:E5), 0, 1) + 1, 0, 1, TRUE), "")</f>
        <v>0.43845184879433152</v>
      </c>
      <c r="F2" s="52">
        <f>IFERROR(1-_xlfn.NORM.DIST(_xlfn.NORM.INV(SUM(F4:F5), 0, 1) + 1, 0, 1, TRUE), "")</f>
        <v>0.28910436648051485</v>
      </c>
      <c r="G2" s="52">
        <f>IFERROR(1-_xlfn.NORM.DIST(_xlfn.NORM.INV(SUM(G4:G5), 0, 1) + 1, 0, 1, TRUE), "")</f>
        <v>0.19410062053018295</v>
      </c>
    </row>
    <row r="3" spans="1:15" ht="15.75" customHeight="1" x14ac:dyDescent="0.25">
      <c r="B3" s="5" t="s">
        <v>113</v>
      </c>
      <c r="C3" s="52">
        <f>IFERROR(_xlfn.NORM.DIST(_xlfn.NORM.INV(SUM(C4:C5), 0, 1) + 1, 0, 1, TRUE) - SUM(C4:C5), "")</f>
        <v>0.3697146442696414</v>
      </c>
      <c r="D3" s="52">
        <f>IFERROR(_xlfn.NORM.DIST(_xlfn.NORM.INV(SUM(D4:D5), 0, 1) + 1, 0, 1, TRUE) - SUM(D4:D5), "")</f>
        <v>0.3697146442696414</v>
      </c>
      <c r="E3" s="52">
        <f>IFERROR(_xlfn.NORM.DIST(_xlfn.NORM.INV(SUM(E4:E5), 0, 1) + 1, 0, 1, TRUE) - SUM(E4:E5), "")</f>
        <v>0.36252190185655087</v>
      </c>
      <c r="F3" s="52">
        <f>IFERROR(_xlfn.NORM.DIST(_xlfn.NORM.INV(SUM(F4:F5), 0, 1) + 1, 0, 1, TRUE) - SUM(F4:F5), "")</f>
        <v>0.38237321955044518</v>
      </c>
      <c r="G3" s="52">
        <f>IFERROR(_xlfn.NORM.DIST(_xlfn.NORM.INV(SUM(G4:G5), 0, 1) + 1, 0, 1, TRUE) - SUM(G4:G5), "")</f>
        <v>0.36042982123083406</v>
      </c>
    </row>
    <row r="4" spans="1:15" ht="15.75" customHeight="1" x14ac:dyDescent="0.25">
      <c r="B4" s="5" t="s">
        <v>114</v>
      </c>
      <c r="C4" s="45">
        <v>0.13137109577655801</v>
      </c>
      <c r="D4" s="53">
        <v>0.13137109577655801</v>
      </c>
      <c r="E4" s="53">
        <v>0.104438312351704</v>
      </c>
      <c r="F4" s="53">
        <v>0.21142743527889299</v>
      </c>
      <c r="G4" s="53">
        <v>0.22741025686263999</v>
      </c>
    </row>
    <row r="5" spans="1:15" ht="15.75" customHeight="1" x14ac:dyDescent="0.25">
      <c r="B5" s="5" t="s">
        <v>115</v>
      </c>
      <c r="C5" s="45">
        <v>8.7402127683162703E-2</v>
      </c>
      <c r="D5" s="53">
        <v>8.7402127683162703E-2</v>
      </c>
      <c r="E5" s="53">
        <v>9.4587936997413594E-2</v>
      </c>
      <c r="F5" s="53">
        <v>0.117094978690147</v>
      </c>
      <c r="G5" s="53">
        <v>0.218059301376343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116</v>
      </c>
      <c r="B8" s="5" t="s">
        <v>117</v>
      </c>
      <c r="C8" s="52">
        <f>IFERROR(1-_xlfn.NORM.DIST(_xlfn.NORM.INV(SUM(C10:C11), 0, 1) + 1, 0, 1, TRUE), "")</f>
        <v>0.53131504888641068</v>
      </c>
      <c r="D8" s="52">
        <f>IFERROR(1-_xlfn.NORM.DIST(_xlfn.NORM.INV(SUM(D10:D11), 0, 1) + 1, 0, 1, TRUE), "")</f>
        <v>0.53131504888641068</v>
      </c>
      <c r="E8" s="52">
        <f>IFERROR(1-_xlfn.NORM.DIST(_xlfn.NORM.INV(SUM(E10:E11), 0, 1) + 1, 0, 1, TRUE), "")</f>
        <v>0.55368904891406112</v>
      </c>
      <c r="F8" s="52">
        <f>IFERROR(1-_xlfn.NORM.DIST(_xlfn.NORM.INV(SUM(F10:F11), 0, 1) + 1, 0, 1, TRUE), "")</f>
        <v>0.67297938551912528</v>
      </c>
      <c r="G8" s="52">
        <f>IFERROR(1-_xlfn.NORM.DIST(_xlfn.NORM.INV(SUM(G10:G11), 0, 1) + 1, 0, 1, TRUE), "")</f>
        <v>0.7499299217203651</v>
      </c>
    </row>
    <row r="9" spans="1:15" ht="15.75" customHeight="1" x14ac:dyDescent="0.25">
      <c r="B9" s="5" t="s">
        <v>118</v>
      </c>
      <c r="C9" s="52">
        <f>IFERROR(_xlfn.NORM.DIST(_xlfn.NORM.INV(SUM(C10:C11), 0, 1) + 1, 0, 1, TRUE) - SUM(C10:C11), "")</f>
        <v>0.32829655175102523</v>
      </c>
      <c r="D9" s="52">
        <f>IFERROR(_xlfn.NORM.DIST(_xlfn.NORM.INV(SUM(D10:D11), 0, 1) + 1, 0, 1, TRUE) - SUM(D10:D11), "")</f>
        <v>0.32829655175102523</v>
      </c>
      <c r="E9" s="52">
        <f>IFERROR(_xlfn.NORM.DIST(_xlfn.NORM.INV(SUM(E10:E11), 0, 1) + 1, 0, 1, TRUE) - SUM(E10:E11), "")</f>
        <v>0.31812063482607805</v>
      </c>
      <c r="F9" s="52">
        <f>IFERROR(_xlfn.NORM.DIST(_xlfn.NORM.INV(SUM(F10:F11), 0, 1) + 1, 0, 1, TRUE) - SUM(F10:F11), "")</f>
        <v>0.25323378208865893</v>
      </c>
      <c r="G9" s="52">
        <f>IFERROR(_xlfn.NORM.DIST(_xlfn.NORM.INV(SUM(G10:G11), 0, 1) + 1, 0, 1, TRUE) - SUM(G10:G11), "")</f>
        <v>0.20303122976776031</v>
      </c>
    </row>
    <row r="10" spans="1:15" ht="15.75" customHeight="1" x14ac:dyDescent="0.25">
      <c r="B10" s="5" t="s">
        <v>119</v>
      </c>
      <c r="C10" s="45">
        <v>7.6962091028690297E-2</v>
      </c>
      <c r="D10" s="53">
        <v>7.6962091028690297E-2</v>
      </c>
      <c r="E10" s="53">
        <v>8.123525977134699E-2</v>
      </c>
      <c r="F10" s="53">
        <v>5.25322034955025E-2</v>
      </c>
      <c r="G10" s="53">
        <v>3.4240134060382801E-2</v>
      </c>
    </row>
    <row r="11" spans="1:15" ht="15.75" customHeight="1" x14ac:dyDescent="0.25">
      <c r="B11" s="5" t="s">
        <v>120</v>
      </c>
      <c r="C11" s="45">
        <v>6.3426308333873707E-2</v>
      </c>
      <c r="D11" s="53">
        <v>6.3426308333873707E-2</v>
      </c>
      <c r="E11" s="53">
        <v>4.6955056488513898E-2</v>
      </c>
      <c r="F11" s="53">
        <v>2.1254628896713298E-2</v>
      </c>
      <c r="G11" s="53">
        <v>1.27987144514918E-2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5">
      <c r="B14" s="11" t="s">
        <v>126</v>
      </c>
      <c r="C14" s="51">
        <v>0.85991862525000007</v>
      </c>
      <c r="D14" s="54">
        <v>0.83566812777800015</v>
      </c>
      <c r="E14" s="54">
        <v>0.83566812777800015</v>
      </c>
      <c r="F14" s="54">
        <v>0.71781739033000003</v>
      </c>
      <c r="G14" s="54">
        <v>0.71781739033000003</v>
      </c>
      <c r="H14" s="45">
        <v>0.51300000000000001</v>
      </c>
      <c r="I14" s="55">
        <v>0.51300000000000001</v>
      </c>
      <c r="J14" s="55">
        <v>0.51300000000000001</v>
      </c>
      <c r="K14" s="55">
        <v>0.51300000000000001</v>
      </c>
      <c r="L14" s="45">
        <v>0.52200000000000002</v>
      </c>
      <c r="M14" s="55">
        <v>0.52200000000000002</v>
      </c>
      <c r="N14" s="55">
        <v>0.52200000000000002</v>
      </c>
      <c r="O14" s="55">
        <v>0.52200000000000002</v>
      </c>
    </row>
    <row r="15" spans="1:15" ht="15.75" customHeight="1" x14ac:dyDescent="0.25">
      <c r="B15" s="11" t="s">
        <v>127</v>
      </c>
      <c r="C15" s="52">
        <f t="shared" ref="C15:O15" si="0">iron_deficiency_anaemia*C14</f>
        <v>0.37540349528326428</v>
      </c>
      <c r="D15" s="52">
        <f t="shared" si="0"/>
        <v>0.36481677085838038</v>
      </c>
      <c r="E15" s="52">
        <f t="shared" si="0"/>
        <v>0.36481677085838038</v>
      </c>
      <c r="F15" s="52">
        <f t="shared" si="0"/>
        <v>0.31336820647029379</v>
      </c>
      <c r="G15" s="52">
        <f t="shared" si="0"/>
        <v>0.31336820647029379</v>
      </c>
      <c r="H15" s="52">
        <f t="shared" si="0"/>
        <v>0.22395374099999998</v>
      </c>
      <c r="I15" s="52">
        <f t="shared" si="0"/>
        <v>0.22395374099999998</v>
      </c>
      <c r="J15" s="52">
        <f t="shared" si="0"/>
        <v>0.22395374099999998</v>
      </c>
      <c r="K15" s="52">
        <f t="shared" si="0"/>
        <v>0.22395374099999998</v>
      </c>
      <c r="L15" s="52">
        <f t="shared" si="0"/>
        <v>0.22788275399999999</v>
      </c>
      <c r="M15" s="52">
        <f t="shared" si="0"/>
        <v>0.22788275399999999</v>
      </c>
      <c r="N15" s="52">
        <f t="shared" si="0"/>
        <v>0.22788275399999999</v>
      </c>
      <c r="O15" s="52">
        <f t="shared" si="0"/>
        <v>0.22788275399999999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51C3A00h3S1bhM9US6hl4WqK9cQnMAYP8tEMj/3ns49M3gTCaGV3zrzt+OoUTYSd2oZwBdC/V30b1m2sEQ08RA==" saltValue="o2kHZBoyskQUrcImEpXHZ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5">
      <c r="A2" s="3" t="s">
        <v>128</v>
      </c>
      <c r="B2" s="3" t="s">
        <v>129</v>
      </c>
      <c r="C2" s="45">
        <v>0.559345543384552</v>
      </c>
      <c r="D2" s="53">
        <v>0.46563719999999997</v>
      </c>
      <c r="E2" s="53"/>
      <c r="F2" s="53"/>
      <c r="G2" s="53"/>
    </row>
    <row r="3" spans="1:7" x14ac:dyDescent="0.25">
      <c r="B3" s="3" t="s">
        <v>130</v>
      </c>
      <c r="C3" s="53">
        <v>7.8223004937171894E-2</v>
      </c>
      <c r="D3" s="53">
        <v>0.1007064</v>
      </c>
      <c r="E3" s="53"/>
      <c r="F3" s="53"/>
      <c r="G3" s="53"/>
    </row>
    <row r="4" spans="1:7" x14ac:dyDescent="0.25">
      <c r="B4" s="3" t="s">
        <v>131</v>
      </c>
      <c r="C4" s="53">
        <v>0.32265946269035289</v>
      </c>
      <c r="D4" s="53">
        <v>0.35786780000000001</v>
      </c>
      <c r="E4" s="53">
        <v>0.78967547416687001</v>
      </c>
      <c r="F4" s="53">
        <v>0.63183218240737904</v>
      </c>
      <c r="G4" s="53"/>
    </row>
    <row r="5" spans="1:7" x14ac:dyDescent="0.25">
      <c r="B5" s="3" t="s">
        <v>132</v>
      </c>
      <c r="C5" s="52">
        <v>3.9771992713212988E-2</v>
      </c>
      <c r="D5" s="52">
        <v>7.5788594782352406E-2</v>
      </c>
      <c r="E5" s="52">
        <f>1-SUM(E2:E4)</f>
        <v>0.21032452583312999</v>
      </c>
      <c r="F5" s="52">
        <f>1-SUM(F2:F4)</f>
        <v>0.36816781759262096</v>
      </c>
      <c r="G5" s="52">
        <f>1-SUM(G2:G4)</f>
        <v>1</v>
      </c>
    </row>
  </sheetData>
  <sheetProtection algorithmName="SHA-512" hashValue="79IJ9f56TzzsUbgufNMX8AIeK+xZ2pUOSNSoTZWoIuBps1tQ1w/ES2aKCkzcMw9mZetvRPdqOzKAd1g9ARbeZw==" saltValue="MxThULE0Sb0JYilNQL5BXw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ht="13.25" customHeight="1" x14ac:dyDescent="0.25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ht="13.25" customHeight="1" x14ac:dyDescent="0.25">
      <c r="B3" s="9"/>
    </row>
    <row r="4" spans="1:11" ht="13.25" customHeight="1" x14ac:dyDescent="0.25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ht="13.25" customHeight="1" x14ac:dyDescent="0.25">
      <c r="B5" s="9"/>
    </row>
    <row r="6" spans="1:11" ht="13.25" customHeight="1" x14ac:dyDescent="0.25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ht="13.25" customHeight="1" x14ac:dyDescent="0.25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ht="13.25" customHeight="1" x14ac:dyDescent="0.25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ht="13.25" customHeight="1" x14ac:dyDescent="0.25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ht="13.25" customHeight="1" x14ac:dyDescent="0.25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ht="13.25" customHeight="1" x14ac:dyDescent="0.25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ht="13.25" customHeight="1" x14ac:dyDescent="0.25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tlqdb3Su/HI4x+3RXkd6NSplNxjtu8aJnwkwHBZIYxabKSsq4wsQWPPG6186LMANOVQ86OaWyA1D4/ZLXnAB2g==" saltValue="3g5XMt0Xp7y8UgeafRTeu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4</v>
      </c>
      <c r="B1" s="4" t="s">
        <v>144</v>
      </c>
    </row>
    <row r="2" spans="1:2" ht="13.25" customHeight="1" x14ac:dyDescent="0.25">
      <c r="A2" s="8" t="s">
        <v>145</v>
      </c>
      <c r="B2" s="41">
        <v>10</v>
      </c>
    </row>
    <row r="3" spans="1:2" ht="13.25" customHeight="1" x14ac:dyDescent="0.25">
      <c r="A3" s="8" t="s">
        <v>150</v>
      </c>
      <c r="B3" s="41">
        <v>10</v>
      </c>
    </row>
    <row r="4" spans="1:2" ht="13.25" customHeight="1" x14ac:dyDescent="0.25">
      <c r="A4" s="8" t="s">
        <v>146</v>
      </c>
      <c r="B4" s="41">
        <v>10</v>
      </c>
    </row>
    <row r="5" spans="1:2" ht="13.25" customHeight="1" x14ac:dyDescent="0.25">
      <c r="A5" s="8" t="s">
        <v>147</v>
      </c>
      <c r="B5" s="41">
        <v>10</v>
      </c>
    </row>
    <row r="6" spans="1:2" ht="13.25" customHeight="1" x14ac:dyDescent="0.25">
      <c r="A6" s="8" t="s">
        <v>148</v>
      </c>
      <c r="B6" s="41">
        <v>10</v>
      </c>
    </row>
    <row r="7" spans="1:2" ht="13.25" customHeight="1" x14ac:dyDescent="0.25">
      <c r="A7" s="8" t="s">
        <v>149</v>
      </c>
      <c r="B7" s="41">
        <v>10</v>
      </c>
    </row>
  </sheetData>
  <sheetProtection algorithmName="SHA-512" hashValue="jrHJWNd6VmrPoC9/TB3qfoZiI0fx20cvUbrBdzPfejvqEVapMN3aMu/8yLmkJxoXrzNVWSt6rvtghsabbPTM5Q==" saltValue="dj4yjLeldC0INsw/ruUh3A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ht="13" customHeight="1" x14ac:dyDescent="0.3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ht="13.25" customHeight="1" x14ac:dyDescent="0.25">
      <c r="B3" s="32" t="s">
        <v>109</v>
      </c>
      <c r="C3" s="47"/>
      <c r="D3" s="47" t="s">
        <v>5</v>
      </c>
      <c r="E3" s="38" t="str">
        <f>IF(E$7="","",E$7)</f>
        <v/>
      </c>
    </row>
    <row r="4" spans="1:5" ht="13.25" customHeight="1" x14ac:dyDescent="0.25">
      <c r="B4" s="32" t="s">
        <v>96</v>
      </c>
      <c r="C4" s="47"/>
      <c r="D4" s="47" t="s">
        <v>5</v>
      </c>
      <c r="E4" s="38" t="str">
        <f>IF(E$7="","",E$7)</f>
        <v/>
      </c>
    </row>
    <row r="5" spans="1:5" ht="13.25" customHeight="1" x14ac:dyDescent="0.25">
      <c r="B5" s="32" t="s">
        <v>97</v>
      </c>
      <c r="C5" s="47"/>
      <c r="D5" s="47"/>
      <c r="E5" s="38" t="str">
        <f>IF(E$7="","",E$7)</f>
        <v/>
      </c>
    </row>
    <row r="6" spans="1:5" ht="13.25" customHeight="1" x14ac:dyDescent="0.25">
      <c r="B6" s="32" t="s">
        <v>98</v>
      </c>
      <c r="C6" s="47"/>
      <c r="D6" s="47"/>
      <c r="E6" s="38" t="str">
        <f>IF(E$7="","",E$7)</f>
        <v/>
      </c>
    </row>
    <row r="7" spans="1:5" ht="13.25" customHeight="1" x14ac:dyDescent="0.25">
      <c r="B7" s="32" t="s">
        <v>156</v>
      </c>
      <c r="C7" s="31"/>
      <c r="D7" s="30"/>
      <c r="E7" s="47"/>
    </row>
    <row r="9" spans="1:5" ht="13" customHeight="1" x14ac:dyDescent="0.3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ht="13.25" customHeight="1" x14ac:dyDescent="0.25">
      <c r="B10" s="32" t="s">
        <v>109</v>
      </c>
      <c r="C10" s="47"/>
      <c r="D10" s="47"/>
      <c r="E10" s="38" t="str">
        <f>IF(E$7="","",E$7)</f>
        <v/>
      </c>
    </row>
    <row r="11" spans="1:5" ht="13.25" customHeight="1" x14ac:dyDescent="0.25">
      <c r="B11" s="32" t="s">
        <v>96</v>
      </c>
      <c r="C11" s="47"/>
      <c r="D11" s="47"/>
      <c r="E11" s="38" t="str">
        <f>IF(E$7="","",E$7)</f>
        <v/>
      </c>
    </row>
    <row r="12" spans="1:5" ht="13.25" customHeight="1" x14ac:dyDescent="0.25">
      <c r="B12" s="32" t="s">
        <v>97</v>
      </c>
      <c r="C12" s="47"/>
      <c r="D12" s="47" t="s">
        <v>5</v>
      </c>
      <c r="E12" s="38" t="str">
        <f>IF(E$7="","",E$7)</f>
        <v/>
      </c>
    </row>
    <row r="13" spans="1:5" ht="13.25" customHeight="1" x14ac:dyDescent="0.25">
      <c r="B13" s="32" t="s">
        <v>98</v>
      </c>
      <c r="C13" s="47"/>
      <c r="D13" s="47" t="s">
        <v>5</v>
      </c>
      <c r="E13" s="38" t="str">
        <f>IF(E$7="","",E$7)</f>
        <v/>
      </c>
    </row>
    <row r="14" spans="1:5" ht="13.25" customHeight="1" x14ac:dyDescent="0.25">
      <c r="B14" s="32" t="s">
        <v>156</v>
      </c>
      <c r="C14" s="31"/>
      <c r="D14" s="30"/>
      <c r="E14" s="47"/>
    </row>
    <row r="16" spans="1:5" ht="13" customHeight="1" x14ac:dyDescent="0.3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ht="13.25" customHeight="1" x14ac:dyDescent="0.25">
      <c r="B17" s="32" t="s">
        <v>109</v>
      </c>
      <c r="C17" s="47"/>
      <c r="D17" s="47" t="s">
        <v>5</v>
      </c>
      <c r="E17" s="38" t="str">
        <f>IF(E$7="","",E$7)</f>
        <v/>
      </c>
    </row>
    <row r="18" spans="2:5" ht="13.25" customHeight="1" x14ac:dyDescent="0.25">
      <c r="B18" s="32" t="s">
        <v>96</v>
      </c>
      <c r="C18" s="47"/>
      <c r="D18" s="47" t="s">
        <v>5</v>
      </c>
      <c r="E18" s="38" t="str">
        <f>IF(E$7="","",E$7)</f>
        <v/>
      </c>
    </row>
    <row r="19" spans="2:5" ht="13.25" customHeight="1" x14ac:dyDescent="0.25">
      <c r="B19" s="32" t="s">
        <v>97</v>
      </c>
      <c r="C19" s="47"/>
      <c r="D19" s="47" t="s">
        <v>5</v>
      </c>
      <c r="E19" s="38" t="str">
        <f>IF(E$7="","",E$7)</f>
        <v/>
      </c>
    </row>
    <row r="20" spans="2:5" ht="13.25" customHeight="1" x14ac:dyDescent="0.25">
      <c r="B20" s="32" t="s">
        <v>98</v>
      </c>
      <c r="C20" s="47"/>
      <c r="D20" s="47" t="s">
        <v>5</v>
      </c>
      <c r="E20" s="38" t="str">
        <f>IF(E$7="","",E$7)</f>
        <v/>
      </c>
    </row>
    <row r="21" spans="2:5" ht="13.25" customHeight="1" x14ac:dyDescent="0.25">
      <c r="B21" s="32" t="s">
        <v>156</v>
      </c>
      <c r="C21" s="31"/>
      <c r="D21" s="30"/>
      <c r="E21" s="47"/>
    </row>
  </sheetData>
  <sheetProtection algorithmName="SHA-512" hashValue="7u+t7TjzSfJIJ7fa8dg4hRw6GDBRdCjIzb0ZZNwVdu/sqWzp4maGf0v6/n8xlqBti5vuGNmxdZgB/ialKsbQlQ==" saltValue="jzeTfCbJJ2Bc16AmFzzxA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162</v>
      </c>
      <c r="C1" s="40" t="s">
        <v>6</v>
      </c>
      <c r="D1" s="40" t="s">
        <v>163</v>
      </c>
    </row>
    <row r="2" spans="1:4" ht="13" customHeight="1" x14ac:dyDescent="0.3">
      <c r="A2" s="40" t="s">
        <v>160</v>
      </c>
      <c r="B2" s="32" t="s">
        <v>161</v>
      </c>
      <c r="C2" s="32" t="s">
        <v>165</v>
      </c>
      <c r="D2" s="47"/>
    </row>
    <row r="3" spans="1:4" ht="13" customHeight="1" x14ac:dyDescent="0.3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MJVPN+lrw04tctLUWF+Qx0V8QcGz0NMKwPmWHtuqw9U8r574HgSCaM7q9GXTH0ANTtEv3YOZZoio1X+zlViH0g==" saltValue="j8V5WH9N0qslNvWZw/Gs+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2024-03-18T01:51:16Z</dcterms:modified>
</cp:coreProperties>
</file>